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ABRYELLE ORÇAMENTOS\REFORMA SOCIETY\LICITAÇÃO\"/>
    </mc:Choice>
  </mc:AlternateContent>
  <xr:revisionPtr revIDLastSave="0" documentId="13_ncr:1_{BA0B9C10-F4F1-4008-A252-30FF49E248E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sumo " sheetId="3" r:id="rId1"/>
    <sheet name="Orçamento " sheetId="7" r:id="rId2"/>
    <sheet name="Composições" sheetId="9" r:id="rId3"/>
    <sheet name="BDI " sheetId="4" r:id="rId4"/>
    <sheet name="Cronograma " sheetId="6" r:id="rId5"/>
  </sheets>
  <externalReferences>
    <externalReference r:id="rId6"/>
  </externalReferences>
  <definedNames>
    <definedName name="_xlnm.Print_Area" localSheetId="3">'BDI '!$E$9:$L$43</definedName>
    <definedName name="_xlnm.Print_Area" localSheetId="4">'Cronograma '!$A$13:$K$33</definedName>
    <definedName name="_xlnm.Print_Area" localSheetId="1">'Orçamento '!$A$1:$I$139</definedName>
    <definedName name="e" localSheetId="4">#REF!</definedName>
    <definedName name="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7" l="1"/>
  <c r="K33" i="7"/>
  <c r="K34" i="7"/>
  <c r="I33" i="7"/>
  <c r="I32" i="7" s="1"/>
  <c r="H89" i="9"/>
  <c r="H90" i="9"/>
  <c r="H82" i="9"/>
  <c r="G31" i="7" s="1"/>
  <c r="G87" i="9"/>
  <c r="H87" i="9" s="1"/>
  <c r="H146" i="9"/>
  <c r="I44" i="7"/>
  <c r="H33" i="7"/>
  <c r="H34" i="7"/>
  <c r="I34" i="7" s="1"/>
  <c r="H41" i="7"/>
  <c r="I41" i="7" s="1"/>
  <c r="H17" i="7"/>
  <c r="I17" i="7" s="1"/>
  <c r="H18" i="7"/>
  <c r="I18" i="7" s="1"/>
  <c r="H20" i="7"/>
  <c r="I20" i="7" s="1"/>
  <c r="H21" i="7"/>
  <c r="I21" i="7" s="1"/>
  <c r="K11" i="7"/>
  <c r="K14" i="7"/>
  <c r="K15" i="7"/>
  <c r="K16" i="7"/>
  <c r="K17" i="7"/>
  <c r="K18" i="7"/>
  <c r="K20" i="7"/>
  <c r="K21" i="7"/>
  <c r="K22" i="7"/>
  <c r="K23" i="7"/>
  <c r="K24" i="7"/>
  <c r="K25" i="7"/>
  <c r="K26" i="7"/>
  <c r="K29" i="7"/>
  <c r="K35" i="7"/>
  <c r="K36" i="7"/>
  <c r="K37" i="7"/>
  <c r="K38" i="7"/>
  <c r="K39" i="7"/>
  <c r="K41" i="7"/>
  <c r="K43" i="7"/>
  <c r="K44" i="7"/>
  <c r="K45" i="7"/>
  <c r="K46" i="7"/>
  <c r="K47" i="7"/>
  <c r="K48" i="7"/>
  <c r="K49" i="7"/>
  <c r="K50" i="7"/>
  <c r="K51" i="7"/>
  <c r="K52" i="7"/>
  <c r="K53" i="7"/>
  <c r="K54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5" i="7"/>
  <c r="K76" i="7"/>
  <c r="K77" i="7"/>
  <c r="K79" i="7"/>
  <c r="K80" i="7"/>
  <c r="K81" i="7"/>
  <c r="K82" i="7"/>
  <c r="K84" i="7"/>
  <c r="K85" i="7"/>
  <c r="K86" i="7"/>
  <c r="K87" i="7"/>
  <c r="K88" i="7"/>
  <c r="K91" i="7"/>
  <c r="K92" i="7"/>
  <c r="K93" i="7"/>
  <c r="K94" i="7"/>
  <c r="K96" i="7"/>
  <c r="K97" i="7"/>
  <c r="K98" i="7"/>
  <c r="K99" i="7"/>
  <c r="K100" i="7"/>
  <c r="K101" i="7"/>
  <c r="K102" i="7"/>
  <c r="K103" i="7"/>
  <c r="K105" i="7"/>
  <c r="K106" i="7"/>
  <c r="K107" i="7"/>
  <c r="K108" i="7"/>
  <c r="K109" i="7"/>
  <c r="K110" i="7"/>
  <c r="K111" i="7"/>
  <c r="K112" i="7"/>
  <c r="M112" i="7" s="1"/>
  <c r="K113" i="7"/>
  <c r="K114" i="7"/>
  <c r="K115" i="7"/>
  <c r="K116" i="7"/>
  <c r="K117" i="7"/>
  <c r="M117" i="7" s="1"/>
  <c r="K118" i="7"/>
  <c r="K119" i="7"/>
  <c r="K120" i="7"/>
  <c r="K121" i="7"/>
  <c r="K122" i="7"/>
  <c r="K123" i="7"/>
  <c r="K124" i="7"/>
  <c r="K126" i="7"/>
  <c r="K127" i="7"/>
  <c r="K128" i="7"/>
  <c r="K129" i="7"/>
  <c r="K130" i="7"/>
  <c r="K131" i="7"/>
  <c r="K132" i="7"/>
  <c r="K134" i="7"/>
  <c r="K135" i="7"/>
  <c r="K136" i="7"/>
  <c r="H54" i="7"/>
  <c r="I54" i="7" s="1"/>
  <c r="H29" i="7"/>
  <c r="I29" i="7" s="1"/>
  <c r="G42" i="7"/>
  <c r="K42" i="7" s="1"/>
  <c r="H128" i="9"/>
  <c r="H127" i="9" s="1"/>
  <c r="H119" i="9"/>
  <c r="H118" i="9" s="1"/>
  <c r="H112" i="9"/>
  <c r="H111" i="9" s="1"/>
  <c r="H106" i="9"/>
  <c r="H105" i="9" s="1"/>
  <c r="H99" i="9"/>
  <c r="H98" i="9" s="1"/>
  <c r="H79" i="9"/>
  <c r="H78" i="9" s="1"/>
  <c r="H70" i="9"/>
  <c r="H69" i="9" s="1"/>
  <c r="H59" i="9"/>
  <c r="H58" i="9" s="1"/>
  <c r="H49" i="9"/>
  <c r="H48" i="9" s="1"/>
  <c r="H36" i="9"/>
  <c r="H35" i="9" s="1"/>
  <c r="H21" i="9"/>
  <c r="H20" i="9" s="1"/>
  <c r="H10" i="9"/>
  <c r="H9" i="9" s="1"/>
  <c r="H115" i="9"/>
  <c r="H117" i="9"/>
  <c r="H140" i="9"/>
  <c r="H116" i="9"/>
  <c r="H126" i="9"/>
  <c r="H125" i="9"/>
  <c r="H124" i="9"/>
  <c r="H123" i="9"/>
  <c r="H122" i="9" s="1"/>
  <c r="G90" i="7" s="1"/>
  <c r="K90" i="7" s="1"/>
  <c r="H110" i="9"/>
  <c r="H109" i="9" s="1"/>
  <c r="H97" i="9"/>
  <c r="H96" i="9"/>
  <c r="H95" i="9"/>
  <c r="H94" i="9"/>
  <c r="H104" i="9"/>
  <c r="H103" i="9"/>
  <c r="H102" i="9"/>
  <c r="H88" i="9"/>
  <c r="H86" i="9"/>
  <c r="H85" i="9"/>
  <c r="H84" i="9"/>
  <c r="H83" i="9"/>
  <c r="H77" i="9"/>
  <c r="H76" i="9"/>
  <c r="H75" i="9"/>
  <c r="H74" i="9"/>
  <c r="H64" i="9"/>
  <c r="H65" i="9"/>
  <c r="H66" i="9"/>
  <c r="H67" i="9"/>
  <c r="H68" i="9"/>
  <c r="H63" i="9"/>
  <c r="H54" i="9"/>
  <c r="H55" i="9"/>
  <c r="H56" i="9"/>
  <c r="H57" i="9"/>
  <c r="H53" i="9"/>
  <c r="H41" i="9"/>
  <c r="H42" i="9"/>
  <c r="H43" i="9"/>
  <c r="H44" i="9"/>
  <c r="H45" i="9"/>
  <c r="H46" i="9"/>
  <c r="H47" i="9"/>
  <c r="H40" i="9"/>
  <c r="H26" i="9"/>
  <c r="H27" i="9"/>
  <c r="H28" i="9"/>
  <c r="H29" i="9"/>
  <c r="H30" i="9"/>
  <c r="H31" i="9"/>
  <c r="H32" i="9"/>
  <c r="H33" i="9"/>
  <c r="H34" i="9"/>
  <c r="H25" i="9"/>
  <c r="H15" i="9"/>
  <c r="H16" i="9"/>
  <c r="H17" i="9"/>
  <c r="H18" i="9"/>
  <c r="H19" i="9"/>
  <c r="H14" i="9"/>
  <c r="H8" i="9"/>
  <c r="H7" i="9"/>
  <c r="M70" i="7" l="1"/>
  <c r="M109" i="7"/>
  <c r="M114" i="7"/>
  <c r="M130" i="7"/>
  <c r="M120" i="7"/>
  <c r="M42" i="7"/>
  <c r="M37" i="7"/>
  <c r="M24" i="7"/>
  <c r="M46" i="7"/>
  <c r="M63" i="7"/>
  <c r="G89" i="7"/>
  <c r="K89" i="7" s="1"/>
  <c r="M90" i="7" s="1"/>
  <c r="G115" i="9"/>
  <c r="G122" i="9"/>
  <c r="G133" i="7"/>
  <c r="K133" i="7" s="1"/>
  <c r="M135" i="7" s="1"/>
  <c r="G83" i="7"/>
  <c r="K83" i="7" s="1"/>
  <c r="M85" i="7" s="1"/>
  <c r="G78" i="7"/>
  <c r="K78" i="7" s="1"/>
  <c r="M79" i="7" s="1"/>
  <c r="G125" i="7"/>
  <c r="K125" i="7" s="1"/>
  <c r="M126" i="7" s="1"/>
  <c r="G109" i="9"/>
  <c r="H93" i="9"/>
  <c r="G95" i="7" s="1"/>
  <c r="K95" i="7" s="1"/>
  <c r="M95" i="7" s="1"/>
  <c r="H101" i="9"/>
  <c r="H13" i="9"/>
  <c r="G12" i="7" s="1"/>
  <c r="H73" i="9"/>
  <c r="H39" i="9"/>
  <c r="H52" i="9"/>
  <c r="H6" i="9"/>
  <c r="H24" i="9"/>
  <c r="H62" i="9"/>
  <c r="K12" i="7" l="1"/>
  <c r="H12" i="7"/>
  <c r="I12" i="7" s="1"/>
  <c r="G93" i="9"/>
  <c r="G101" i="9"/>
  <c r="G74" i="7"/>
  <c r="K74" i="7" s="1"/>
  <c r="M75" i="7" s="1"/>
  <c r="G104" i="7"/>
  <c r="K104" i="7" s="1"/>
  <c r="M102" i="7" s="1"/>
  <c r="G55" i="7"/>
  <c r="G13" i="9"/>
  <c r="G6" i="9"/>
  <c r="G10" i="7"/>
  <c r="K10" i="7" s="1"/>
  <c r="G62" i="9"/>
  <c r="G28" i="7"/>
  <c r="G82" i="9"/>
  <c r="K31" i="7"/>
  <c r="G39" i="9"/>
  <c r="G19" i="7"/>
  <c r="G24" i="9"/>
  <c r="G13" i="7"/>
  <c r="G52" i="9"/>
  <c r="G27" i="7"/>
  <c r="G73" i="9"/>
  <c r="G30" i="7"/>
  <c r="K30" i="7" s="1"/>
  <c r="H136" i="7"/>
  <c r="H135" i="7"/>
  <c r="H134" i="7"/>
  <c r="I134" i="7" s="1"/>
  <c r="H133" i="7"/>
  <c r="H132" i="7"/>
  <c r="H130" i="7"/>
  <c r="H129" i="7"/>
  <c r="H127" i="7"/>
  <c r="H126" i="7"/>
  <c r="H125" i="7"/>
  <c r="H122" i="7"/>
  <c r="H121" i="7"/>
  <c r="H120" i="7"/>
  <c r="H119" i="7"/>
  <c r="H117" i="7"/>
  <c r="H115" i="7"/>
  <c r="H114" i="7"/>
  <c r="H112" i="7"/>
  <c r="H109" i="7"/>
  <c r="H108" i="7"/>
  <c r="H106" i="7"/>
  <c r="H105" i="7"/>
  <c r="H104" i="7"/>
  <c r="H103" i="7"/>
  <c r="H102" i="7"/>
  <c r="H101" i="7"/>
  <c r="H99" i="7"/>
  <c r="H98" i="7"/>
  <c r="H97" i="7"/>
  <c r="H96" i="7"/>
  <c r="H95" i="7"/>
  <c r="H94" i="7"/>
  <c r="H93" i="7"/>
  <c r="H91" i="7"/>
  <c r="H90" i="7"/>
  <c r="H89" i="7"/>
  <c r="H88" i="7"/>
  <c r="H85" i="7"/>
  <c r="I85" i="7" s="1"/>
  <c r="H84" i="7"/>
  <c r="I84" i="7" s="1"/>
  <c r="H83" i="7"/>
  <c r="I83" i="7" s="1"/>
  <c r="H81" i="7"/>
  <c r="I81" i="7" s="1"/>
  <c r="H80" i="7"/>
  <c r="I80" i="7" s="1"/>
  <c r="H79" i="7"/>
  <c r="I79" i="7" s="1"/>
  <c r="H78" i="7"/>
  <c r="I78" i="7" s="1"/>
  <c r="H76" i="7"/>
  <c r="I76" i="7" s="1"/>
  <c r="H75" i="7"/>
  <c r="I75" i="7" s="1"/>
  <c r="H74" i="7"/>
  <c r="I74" i="7" s="1"/>
  <c r="H71" i="7"/>
  <c r="I71" i="7" s="1"/>
  <c r="H70" i="7"/>
  <c r="I70" i="7" s="1"/>
  <c r="H68" i="7"/>
  <c r="I68" i="7" s="1"/>
  <c r="H67" i="7"/>
  <c r="I67" i="7" s="1"/>
  <c r="H66" i="7"/>
  <c r="I66" i="7" s="1"/>
  <c r="H65" i="7"/>
  <c r="I65" i="7" s="1"/>
  <c r="H64" i="7"/>
  <c r="I64" i="7" s="1"/>
  <c r="H63" i="7"/>
  <c r="I63" i="7" s="1"/>
  <c r="H62" i="7"/>
  <c r="I62" i="7" s="1"/>
  <c r="H61" i="7"/>
  <c r="I61" i="7" s="1"/>
  <c r="H59" i="7"/>
  <c r="I59" i="7" s="1"/>
  <c r="H58" i="7"/>
  <c r="I58" i="7" s="1"/>
  <c r="H57" i="7"/>
  <c r="I57" i="7" s="1"/>
  <c r="H56" i="7"/>
  <c r="I56" i="7" s="1"/>
  <c r="H53" i="7"/>
  <c r="I53" i="7" s="1"/>
  <c r="H52" i="7"/>
  <c r="I52" i="7" s="1"/>
  <c r="H51" i="7"/>
  <c r="I51" i="7" s="1"/>
  <c r="H50" i="7"/>
  <c r="I50" i="7" s="1"/>
  <c r="H47" i="7"/>
  <c r="I47" i="7" s="1"/>
  <c r="H46" i="7"/>
  <c r="I46" i="7" s="1"/>
  <c r="H45" i="7"/>
  <c r="I45" i="7" s="1"/>
  <c r="H43" i="7"/>
  <c r="I43" i="7" s="1"/>
  <c r="H42" i="7"/>
  <c r="I42" i="7" s="1"/>
  <c r="H38" i="7"/>
  <c r="I38" i="7" s="1"/>
  <c r="H37" i="7"/>
  <c r="I37" i="7" s="1"/>
  <c r="H36" i="7"/>
  <c r="I36" i="7" s="1"/>
  <c r="H25" i="7"/>
  <c r="I25" i="7" s="1"/>
  <c r="H24" i="7"/>
  <c r="I24" i="7" s="1"/>
  <c r="H23" i="7"/>
  <c r="I23" i="7" s="1"/>
  <c r="H134" i="9"/>
  <c r="I40" i="7" l="1"/>
  <c r="I39" i="7"/>
  <c r="I69" i="7"/>
  <c r="I60" i="7"/>
  <c r="I82" i="7"/>
  <c r="I73" i="7"/>
  <c r="I35" i="7"/>
  <c r="K19" i="7"/>
  <c r="M18" i="7" s="1"/>
  <c r="H19" i="7"/>
  <c r="I19" i="7" s="1"/>
  <c r="I16" i="7" s="1"/>
  <c r="H28" i="7"/>
  <c r="I28" i="7" s="1"/>
  <c r="K28" i="7"/>
  <c r="H55" i="7"/>
  <c r="I55" i="7" s="1"/>
  <c r="I49" i="7" s="1"/>
  <c r="K55" i="7"/>
  <c r="M51" i="7" s="1"/>
  <c r="H10" i="7"/>
  <c r="I10" i="7" s="1"/>
  <c r="I9" i="7" s="1"/>
  <c r="I7" i="3" s="1"/>
  <c r="H27" i="7"/>
  <c r="I27" i="7" s="1"/>
  <c r="K27" i="7"/>
  <c r="M28" i="7" s="1"/>
  <c r="I22" i="7"/>
  <c r="I77" i="7"/>
  <c r="K13" i="7"/>
  <c r="M13" i="7" s="1"/>
  <c r="H13" i="7"/>
  <c r="I13" i="7" s="1"/>
  <c r="I11" i="7" s="1"/>
  <c r="H30" i="7"/>
  <c r="I30" i="7" s="1"/>
  <c r="H31" i="7"/>
  <c r="I31" i="7" s="1"/>
  <c r="I136" i="7"/>
  <c r="I135" i="7"/>
  <c r="I133" i="7"/>
  <c r="I132" i="7"/>
  <c r="I130" i="7"/>
  <c r="I129" i="7"/>
  <c r="I127" i="7"/>
  <c r="I126" i="7"/>
  <c r="I125" i="7"/>
  <c r="I122" i="7"/>
  <c r="I121" i="7"/>
  <c r="I120" i="7"/>
  <c r="I119" i="7"/>
  <c r="I117" i="7"/>
  <c r="I116" i="7" s="1"/>
  <c r="I115" i="7"/>
  <c r="I114" i="7"/>
  <c r="I112" i="7"/>
  <c r="I111" i="7" s="1"/>
  <c r="I109" i="7"/>
  <c r="I108" i="7"/>
  <c r="I106" i="7"/>
  <c r="I105" i="7"/>
  <c r="I104" i="7"/>
  <c r="I103" i="7"/>
  <c r="I102" i="7"/>
  <c r="I101" i="7"/>
  <c r="I99" i="7"/>
  <c r="I97" i="7"/>
  <c r="I96" i="7"/>
  <c r="I95" i="7"/>
  <c r="I94" i="7"/>
  <c r="I93" i="7"/>
  <c r="I91" i="7"/>
  <c r="I90" i="7"/>
  <c r="I89" i="7"/>
  <c r="I88" i="7"/>
  <c r="I87" i="7" s="1"/>
  <c r="I26" i="7" l="1"/>
  <c r="I128" i="7"/>
  <c r="I131" i="7"/>
  <c r="I12" i="3" s="1"/>
  <c r="I113" i="7"/>
  <c r="I72" i="7"/>
  <c r="I48" i="7" s="1"/>
  <c r="I124" i="7"/>
  <c r="I123" i="7" s="1"/>
  <c r="I92" i="7"/>
  <c r="K138" i="7"/>
  <c r="I15" i="7"/>
  <c r="I118" i="7"/>
  <c r="I110" i="7" s="1"/>
  <c r="I8" i="3"/>
  <c r="I100" i="7"/>
  <c r="I107" i="7"/>
  <c r="K27" i="6"/>
  <c r="K26" i="6"/>
  <c r="K25" i="6"/>
  <c r="K24" i="6"/>
  <c r="K23" i="6"/>
  <c r="K22" i="6"/>
  <c r="C28" i="6"/>
  <c r="D25" i="6" s="1"/>
  <c r="I27" i="6"/>
  <c r="G27" i="6"/>
  <c r="E27" i="6"/>
  <c r="I26" i="6"/>
  <c r="G26" i="6"/>
  <c r="E26" i="6"/>
  <c r="I25" i="6"/>
  <c r="G25" i="6"/>
  <c r="E25" i="6"/>
  <c r="I24" i="6"/>
  <c r="G24" i="6"/>
  <c r="E24" i="6"/>
  <c r="I23" i="6"/>
  <c r="G23" i="6"/>
  <c r="E23" i="6"/>
  <c r="I22" i="6"/>
  <c r="G22" i="6"/>
  <c r="E22" i="6"/>
  <c r="F15" i="6"/>
  <c r="F14" i="6"/>
  <c r="F13" i="6"/>
  <c r="I14" i="7" l="1"/>
  <c r="I9" i="3" s="1"/>
  <c r="I10" i="3"/>
  <c r="I86" i="7"/>
  <c r="D28" i="6"/>
  <c r="D23" i="6"/>
  <c r="G28" i="6"/>
  <c r="H28" i="6" s="1"/>
  <c r="D22" i="6"/>
  <c r="D26" i="6"/>
  <c r="D27" i="6"/>
  <c r="E28" i="6"/>
  <c r="F28" i="6" s="1"/>
  <c r="D24" i="6"/>
  <c r="I28" i="6"/>
  <c r="J28" i="6" s="1"/>
  <c r="I8" i="7" l="1"/>
  <c r="H139" i="7"/>
  <c r="H138" i="7" s="1"/>
  <c r="I11" i="3"/>
  <c r="K28" i="6"/>
  <c r="K29" i="6" s="1"/>
  <c r="E29" i="6"/>
  <c r="F29" i="6" s="1"/>
  <c r="G29" i="6" l="1"/>
  <c r="H29" i="6" s="1"/>
  <c r="I29" i="6" l="1"/>
  <c r="J29" i="6" s="1"/>
  <c r="B26" i="4" l="1"/>
  <c r="K24" i="4"/>
  <c r="B27" i="4" s="1"/>
  <c r="K21" i="4"/>
  <c r="N18" i="4"/>
  <c r="N17" i="4"/>
  <c r="N16" i="4"/>
  <c r="N15" i="4"/>
  <c r="N19" i="4" s="1"/>
  <c r="N20" i="4" s="1"/>
  <c r="K31" i="4" s="1"/>
  <c r="K14" i="4"/>
  <c r="B3" i="4"/>
  <c r="B28" i="4" s="1"/>
  <c r="B2" i="4"/>
  <c r="I13" i="3"/>
  <c r="J11" i="3" s="1"/>
  <c r="J7" i="3" l="1"/>
  <c r="B29" i="4"/>
  <c r="B30" i="4" s="1"/>
  <c r="B31" i="4" s="1"/>
  <c r="J12" i="3"/>
  <c r="J8" i="3"/>
  <c r="J9" i="3"/>
  <c r="J10" i="3"/>
  <c r="J13" i="3" l="1"/>
</calcChain>
</file>

<file path=xl/sharedStrings.xml><?xml version="1.0" encoding="utf-8"?>
<sst xmlns="http://schemas.openxmlformats.org/spreadsheetml/2006/main" count="1223" uniqueCount="505">
  <si>
    <t>B.D.I.</t>
  </si>
  <si>
    <t>Encargos Sociais</t>
  </si>
  <si>
    <t>REFORMA CAMPO SOCIETY BEZERRÃO</t>
  </si>
  <si>
    <t xml:space="preserve"> 28,0%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</si>
  <si>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</si>
  <si>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</si>
  <si>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</si>
  <si>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</si>
  <si>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</si>
  <si>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</si>
  <si>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</si>
  <si>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</si>
  <si>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</si>
  <si>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</si>
  <si>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REFORMA - QUADRA SOCIETY</t>
  </si>
  <si>
    <t xml:space="preserve"> 1.1 </t>
  </si>
  <si>
    <t>ADMINISTRAÇÃO LOCAL</t>
  </si>
  <si>
    <t xml:space="preserve"> 1.1.1 </t>
  </si>
  <si>
    <t>Próprio</t>
  </si>
  <si>
    <t>ADMINISTRAÇÃO LOCAL DE OBRA</t>
  </si>
  <si>
    <t>MES</t>
  </si>
  <si>
    <t xml:space="preserve"> 1.2 </t>
  </si>
  <si>
    <t>SERVIÇOS PRELIMINARES</t>
  </si>
  <si>
    <t xml:space="preserve"> 1.2.1 </t>
  </si>
  <si>
    <t>SINAPI</t>
  </si>
  <si>
    <t>PLACA DE OBRA EM CHAPA DE ACO GALVANIZADO</t>
  </si>
  <si>
    <t>m²</t>
  </si>
  <si>
    <t xml:space="preserve"> 1.2.2 </t>
  </si>
  <si>
    <t>EXECUÇÃO DE DEPÓSITO EM CANTEIRO DE OBRA EM CHAPA DE MADEIRA COMPENSADA, NÃO INCLUSO MOBILIÁRIO</t>
  </si>
  <si>
    <t xml:space="preserve"> 1.3 </t>
  </si>
  <si>
    <t>CAMPO SOCIETY</t>
  </si>
  <si>
    <t xml:space="preserve"> 1.3.1 </t>
  </si>
  <si>
    <t xml:space="preserve"> 1.3.1.1 </t>
  </si>
  <si>
    <t xml:space="preserve"> 1.3.1.2 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</si>
  <si>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</si>
  <si>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</si>
  <si>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87530 </t>
  </si>
  <si>
    <t>MASSA ÚNICA, PARA RECEBIMENTO DE PINTURA, EM ARGAMASSA TRAÇO 1:2:8, PREPARO MANUAL, APLICADA MANUALMENTE EM FACES INTERNAS DE PAREDES, ESPESSURA DE 20MM, COM EXECUÇÃO DE TALISCAS. AF_06/2014</t>
  </si>
  <si>
    <t>ALAMBRADO EM MOURÕES DE CONCRETO, COM TELA DE ARAME GALVANIZADO</t>
  </si>
  <si>
    <t>M</t>
  </si>
  <si>
    <t xml:space="preserve"> 00043130 </t>
  </si>
  <si>
    <t>ARAME GALVANIZADO 12 BWG, D = 2,76 MM (0,048 KG/M) OU 14 BWG, D = 2,11 MM (0,026 KG/M)</t>
  </si>
  <si>
    <t>KG</t>
  </si>
  <si>
    <t>RECUPERAÇÃO DE TUBO DE AÇO GALVANIZADO 10X10</t>
  </si>
  <si>
    <t>UND</t>
  </si>
  <si>
    <t>TUBO DE AÇO GALVANIZADO 10X10CM, SEÇÃO RETANGULAR, INCLUSO PINTURA</t>
  </si>
  <si>
    <t xml:space="preserve"> 1.3.3.1 </t>
  </si>
  <si>
    <t xml:space="preserve"> 88415 </t>
  </si>
  <si>
    <t>APLICAÇÃO MANUAL DE FUNDO SELADOR ACRÍLICO EM PAREDES EXTERNAS DE CASAS. AF_06/2014</t>
  </si>
  <si>
    <t xml:space="preserve"> 1.3.3.2 </t>
  </si>
  <si>
    <t xml:space="preserve"> 95305 </t>
  </si>
  <si>
    <t>TEXTURA ACRÍLICA, APLICAÇÃO MANUAL EM PAREDE, UMA DEMÃO. AF_09/2016</t>
  </si>
  <si>
    <t xml:space="preserve"> 1.3.3.3 </t>
  </si>
  <si>
    <t xml:space="preserve"> 88489 </t>
  </si>
  <si>
    <t>APLICAÇÃO MANUAL DE PINTURA COM TINTA LÁTEX ACRÍLICA EM PAREDES, DUAS DEMÃOS. AF_06/2014</t>
  </si>
  <si>
    <t>IRRIGAÇÃO MECÂNICA ESPECIALIZADA PARA CAMPO DE FUTEBOL SOCIETY COM ACIONAMENTO PELA PRESSÃO DA ÁGUA. INCLUSO FORNECIMENTO DE INSUMOS E INSTALAÇÃO</t>
  </si>
  <si>
    <t>UN</t>
  </si>
  <si>
    <t xml:space="preserve"> 98504 </t>
  </si>
  <si>
    <t>PLANTIO DE GRAMA EM PLACAS. AF_05/2018</t>
  </si>
  <si>
    <t xml:space="preserve"> 1.4 </t>
  </si>
  <si>
    <t>COPA</t>
  </si>
  <si>
    <t xml:space="preserve"> 1.4.1 </t>
  </si>
  <si>
    <t>BANHEIRO 1</t>
  </si>
  <si>
    <t xml:space="preserve"> 1.4.1.1 </t>
  </si>
  <si>
    <t xml:space="preserve"> 86939 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</si>
  <si>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</si>
  <si>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 xml:space="preserve"> 1.4.1.2 </t>
  </si>
  <si>
    <t xml:space="preserve"> 86906 </t>
  </si>
  <si>
    <t>TORNEIRA CROMADA DE MESA, 1/2 OU 3/4, PARA LAVATÓRIO, PADRÃO POPULAR - FORNECIMENTO E INSTALAÇÃO. AF_01/2020</t>
  </si>
  <si>
    <t xml:space="preserve"> 1.4.1.3 </t>
  </si>
  <si>
    <t xml:space="preserve"> 100849 </t>
  </si>
  <si>
    <t>ASSENTO SANITÁRIO CONVENCIONAL - FORNECIMENTO E INSTALACAO. AF_01/2020</t>
  </si>
  <si>
    <t xml:space="preserve"> 1.4.1.4 </t>
  </si>
  <si>
    <t>un</t>
  </si>
  <si>
    <t xml:space="preserve"> 1.4.1.5 </t>
  </si>
  <si>
    <t xml:space="preserve"> 00003119 </t>
  </si>
  <si>
    <t>FERROLHO COM FECHO / TRINCO REDONDO, EM ACO GALVANIZADO / ZINCADO, DE SOBREPOR, COM COMPRIMENTO DE 2" E ESPESSURA MINIMA DA CHAPA DE 0,90 MM, PARA PORTAS E JANELAS</t>
  </si>
  <si>
    <t xml:space="preserve"> 1.4.1.6 </t>
  </si>
  <si>
    <t>ESPELHO CRISTAL, ESPESSURA 4MM, COM PARAFUSOS DE FIXACAO, SEM MOLDURA</t>
  </si>
  <si>
    <t xml:space="preserve"> 1.4.1.7 </t>
  </si>
  <si>
    <t xml:space="preserve"> 87250 </t>
  </si>
  <si>
    <t>REVESTIMENTO CERÂMICO PARA PISO COM PLACAS TIPO ESMALTADA EXTRA DE DIMENSÕES 45X45 CM APLICADA EM AMBIENTES DE ÁREA ENTRE 5 M2 E 10 M2. AF_06/2014</t>
  </si>
  <si>
    <t xml:space="preserve"> 1.4.1.8 </t>
  </si>
  <si>
    <t xml:space="preserve"> 87272 </t>
  </si>
  <si>
    <t>REVESTIMENTO CERÂMICO PARA PAREDES INTERNAS COM PLACAS TIPO ESMALTADA EXTRA  DE DIMENSÕES 33X45 CM APLICADAS EM AMBIENTES DE ÁREA MENOR QUE 5 M² NA ALTURA INTEIRA DAS PAREDES. AF_06/2014</t>
  </si>
  <si>
    <t xml:space="preserve"> 1.4.1.9 </t>
  </si>
  <si>
    <t xml:space="preserve"> 100717 </t>
  </si>
  <si>
    <t>LIXAMENTO MANUAL EM SUPERFÍCIES METÁLICAS EM OBRA. AF_01/2020</t>
  </si>
  <si>
    <t xml:space="preserve"> 1.4.1.10 </t>
  </si>
  <si>
    <t xml:space="preserve"> 100733 </t>
  </si>
  <si>
    <t>PINTURA COM TINTA ACRÍLICA DE FUNDO PULVERIZADA SOBRE SUPERFÍCIES METÁLICAS (EXCETO PERFIL) EXECUTADO EM OBRA (POR DEMÃO). AF_01/2020_P</t>
  </si>
  <si>
    <t xml:space="preserve"> 1.4.2 </t>
  </si>
  <si>
    <t>BANHEIRO 2</t>
  </si>
  <si>
    <t xml:space="preserve"> 1.4.2.1 </t>
  </si>
  <si>
    <t xml:space="preserve"> 100858 </t>
  </si>
  <si>
    <t>MICTÓRIO SIFONADO LOUÇA BRANCA  PADRÃO MÉDIO  FORNECIMENTO E INSTALAÇÃO. AF_01/2020</t>
  </si>
  <si>
    <t xml:space="preserve"> 1.4.2.2 </t>
  </si>
  <si>
    <t xml:space="preserve"> 1.4.2.3 </t>
  </si>
  <si>
    <t xml:space="preserve"> 1.4.2.4 </t>
  </si>
  <si>
    <t xml:space="preserve"> 1.4.2.5 </t>
  </si>
  <si>
    <t xml:space="preserve"> 1.4.2.6 </t>
  </si>
  <si>
    <t xml:space="preserve"> 1.4.2.7 </t>
  </si>
  <si>
    <t xml:space="preserve"> 1.4.2.8 </t>
  </si>
  <si>
    <t xml:space="preserve"> 102170 </t>
  </si>
  <si>
    <t>INSTALAÇÃO DE VIDRO IMPRESSO, E = 4 MM, EM ESQUADRIA DE ALUMÍNIO OU PVC, FIXADO COM BAGUETE. AF_01/2021_P</t>
  </si>
  <si>
    <t xml:space="preserve"> 1.4.3 </t>
  </si>
  <si>
    <t>BANHEIRO PCD</t>
  </si>
  <si>
    <t xml:space="preserve"> 1.4.3.1 </t>
  </si>
  <si>
    <t xml:space="preserve"> 1.4.3.2 </t>
  </si>
  <si>
    <t>PINTURA INTERNA</t>
  </si>
  <si>
    <t>m</t>
  </si>
  <si>
    <t xml:space="preserve"> 88485 </t>
  </si>
  <si>
    <t>APLICAÇÃO DE FUNDO SELADOR ACRÍLICO EM PAREDES, UMA DEMÃO. AF_06/2014</t>
  </si>
  <si>
    <t>PINTURA EXTERNA</t>
  </si>
  <si>
    <t xml:space="preserve"> 1.5 </t>
  </si>
  <si>
    <t xml:space="preserve"> 1.5.1 </t>
  </si>
  <si>
    <t>DESPENSA</t>
  </si>
  <si>
    <t xml:space="preserve"> 1.5.1.1 </t>
  </si>
  <si>
    <t xml:space="preserve"> 91981 </t>
  </si>
  <si>
    <t>INTERRUPTOR BIPOLAR (1 MÓDULO), 10A/250V, INCLUINDO SUPORTE E PLACA - FORNECIMENTO E INSTALAÇÃO. AF_09/2017</t>
  </si>
  <si>
    <t xml:space="preserve"> 1.5.1.2 </t>
  </si>
  <si>
    <t xml:space="preserve"> 1.5.1.3 </t>
  </si>
  <si>
    <t xml:space="preserve"> 1.5.1.4 </t>
  </si>
  <si>
    <t xml:space="preserve"> 1.5.2 </t>
  </si>
  <si>
    <t xml:space="preserve"> 1.5.2.1 </t>
  </si>
  <si>
    <t xml:space="preserve"> 100860 </t>
  </si>
  <si>
    <t>CHUVEIRO ELÉTRICO COMUM CORPO PLÁSTICO, TIPO DUCHA  FORNECIMENTO E INSTALAÇÃO. AF_01/2020</t>
  </si>
  <si>
    <t xml:space="preserve"> 1.5.2.2 </t>
  </si>
  <si>
    <t xml:space="preserve"> 1.5.2.3 </t>
  </si>
  <si>
    <t xml:space="preserve"> 1.5.2.4 </t>
  </si>
  <si>
    <t xml:space="preserve"> 1.5.2.5 </t>
  </si>
  <si>
    <t xml:space="preserve"> 1.5.2.6 </t>
  </si>
  <si>
    <t xml:space="preserve"> 1.5.2.7 </t>
  </si>
  <si>
    <t xml:space="preserve"> 92029 </t>
  </si>
  <si>
    <t>INTERRUPTOR PARALELO (1 MÓDULO) COM 1 TOMADA DE EMBUTIR 2P+T 10 A,  INCLUINDO SUPORTE E PLACA - FORNECIMENTO E INSTALAÇÃO. AF_12/2015</t>
  </si>
  <si>
    <t xml:space="preserve"> 1.5.3 </t>
  </si>
  <si>
    <t xml:space="preserve"> 1.5.3.1 </t>
  </si>
  <si>
    <t xml:space="preserve"> 100856 </t>
  </si>
  <si>
    <t>MANOPLA E CANOPLA CROMADA  FORNECIMENTO E INSTALAÇÃO. AF_01/2020</t>
  </si>
  <si>
    <t xml:space="preserve"> 1.5.3.2 </t>
  </si>
  <si>
    <t xml:space="preserve"> 1.5.3.3 </t>
  </si>
  <si>
    <t xml:space="preserve"> 1.5.3.4 </t>
  </si>
  <si>
    <t xml:space="preserve"> 1.5.3.5 </t>
  </si>
  <si>
    <t xml:space="preserve"> 1.5.3.6 </t>
  </si>
  <si>
    <t xml:space="preserve"> 1.5.4 </t>
  </si>
  <si>
    <t>PINTURA INTERNA BANHEIROS</t>
  </si>
  <si>
    <t xml:space="preserve"> 1.5.4.1 </t>
  </si>
  <si>
    <t xml:space="preserve"> 1.5.4.2 </t>
  </si>
  <si>
    <t>ESCADA E SALA DOS TÉCNICOS</t>
  </si>
  <si>
    <t>COBERTURA</t>
  </si>
  <si>
    <t>FORRO</t>
  </si>
  <si>
    <t xml:space="preserve"> 96486 </t>
  </si>
  <si>
    <t>FORRO DE PVC, LISO, PARA AMBIENTES COMERCIAIS, INCLUSIVE ESTRUTURA DE FIXAÇÃO. AF_05/2017_P</t>
  </si>
  <si>
    <t xml:space="preserve"> 00036250 </t>
  </si>
  <si>
    <t>RODAFORRO EM PVC, PARA FORRO DE PVC, COMPRIMENTO 6 M</t>
  </si>
  <si>
    <t>VEDAÇÃO DA COBERTURA</t>
  </si>
  <si>
    <t xml:space="preserve"> 94207 </t>
  </si>
  <si>
    <t>TELHAMENTO COM TELHA ONDULADA DE FIBROCIMENTO E = 6 MM, COM RECOBRIMENTO LATERAL DE 1/4 DE ONDA PARA TELHADO COM INCLINAÇÃO MAIOR QUE 10°, COM ATÉ 2 ÁGUAS, INCLUSO IÇAMENTO. AF_07/2019</t>
  </si>
  <si>
    <t xml:space="preserve"> 97634 </t>
  </si>
  <si>
    <t>DEMOLIÇÃO DE REVESTIMENTO CERÂMICO, DE FORMA MECANIZADA COM MARTELETE, SEM REAPROVEITAMENTO. AF_12/2017</t>
  </si>
  <si>
    <t xml:space="preserve"> 97632 </t>
  </si>
  <si>
    <t>DEMOLIÇÃO DE RODAPÉ CERÂMICO, DE FORMA MANUAL, SEM REAPROVEITAMENTO. AF_12/2017</t>
  </si>
  <si>
    <t xml:space="preserve"> 87251 </t>
  </si>
  <si>
    <t>REVESTIMENTO CERÂMICO PARA PISO COM PLACAS TIPO ESMALTADA EXTRA DE DIMENSÕES 45X45 CM APLICADA EM AMBIENTES DE ÁREA MAIOR QUE 10 M2. AF_06/2014</t>
  </si>
  <si>
    <t xml:space="preserve"> 88649 </t>
  </si>
  <si>
    <t>RODAPÉ CERÂMICO DE 7CM DE ALTURA COM PLACAS TIPO ESMALTADA EXTRA DE DIMENSÕES 45X45CM. AF_06/2014</t>
  </si>
  <si>
    <t xml:space="preserve"> 88495 </t>
  </si>
  <si>
    <t>APLICAÇÃO E LIXAMENTO DE MASSA LÁTEX EM PAREDES, UMA DEMÃO. AF_06/2014</t>
  </si>
  <si>
    <t>ARQUIBANCADAS</t>
  </si>
  <si>
    <t xml:space="preserve"> 1.6.1 </t>
  </si>
  <si>
    <t xml:space="preserve"> 102491 </t>
  </si>
  <si>
    <t>PINTURA DE PISO COM TINTA ACRÍLICA, APLICAÇÃO MANUAL, 2 DEMÃOS, INCLUSO FUNDO PREPARADOR. AF_05/2021</t>
  </si>
  <si>
    <t>OBRA:</t>
  </si>
  <si>
    <t>Prazo:</t>
  </si>
  <si>
    <t>PROP.:</t>
  </si>
  <si>
    <t>PREFEITURA MUNICIPAL DE CLÁUDIA</t>
  </si>
  <si>
    <t>BDI:</t>
  </si>
  <si>
    <t>END.:</t>
  </si>
  <si>
    <t>Data-base:</t>
  </si>
  <si>
    <t>PLANILHA ORÇAMENTARIA</t>
  </si>
  <si>
    <t>REFORMA DO CAMPO DE FUTEBOL SOCIETY JOSÉ VIECELLI</t>
  </si>
  <si>
    <t>RUA HERMES DA FONSECA, S/N</t>
  </si>
  <si>
    <t>Total sem BDI:</t>
  </si>
  <si>
    <t>Total do BDI:</t>
  </si>
  <si>
    <t>Total Geral:</t>
  </si>
  <si>
    <t>COMP01</t>
  </si>
  <si>
    <t xml:space="preserve"> 1.3.2.1 </t>
  </si>
  <si>
    <t xml:space="preserve"> 1.3.2.2 </t>
  </si>
  <si>
    <t xml:space="preserve"> 1.3.2.3 </t>
  </si>
  <si>
    <t xml:space="preserve"> 1.5.5.1 </t>
  </si>
  <si>
    <t xml:space="preserve"> 1.5.5.1.1 </t>
  </si>
  <si>
    <t xml:space="preserve"> 1.5.5.2 </t>
  </si>
  <si>
    <t xml:space="preserve"> 1.5.5.2.1 </t>
  </si>
  <si>
    <t xml:space="preserve"> 1.5.5.2.2 </t>
  </si>
  <si>
    <t xml:space="preserve"> 1.5.5.3 </t>
  </si>
  <si>
    <t xml:space="preserve"> 1.5.5.3.1 </t>
  </si>
  <si>
    <t xml:space="preserve"> 1.5.5.4 </t>
  </si>
  <si>
    <t xml:space="preserve"> 1.5.5.4.1 </t>
  </si>
  <si>
    <t>PINTURA COPA</t>
  </si>
  <si>
    <t>PISO SALA DOS TÉCNICOS</t>
  </si>
  <si>
    <t>PINTURA SALA DOS TÉCNICOS</t>
  </si>
  <si>
    <t>PINTURA DE ESQUADRIAS DA CANTINA</t>
  </si>
  <si>
    <t>60 DIAS</t>
  </si>
  <si>
    <t>Composições Analíticas com Preço Unitário</t>
  </si>
  <si>
    <t>Composições Principais</t>
  </si>
  <si>
    <t>Composição</t>
  </si>
  <si>
    <t>Composição Auxiliar</t>
  </si>
  <si>
    <t xml:space="preserve"> 90777 </t>
  </si>
  <si>
    <t>ENGENHEIRO CIVIL DE OBRA JUNIOR COM ENCARGOS COMPLEMENTARES</t>
  </si>
  <si>
    <t>H</t>
  </si>
  <si>
    <t xml:space="preserve"> 93572 </t>
  </si>
  <si>
    <t>ENCARREGADO GERAL DE OBRAS COM ENCARGOS COMPLEMENTARES</t>
  </si>
  <si>
    <t>Valor do BDI =&gt;</t>
  </si>
  <si>
    <t>Valor com BDI =&gt;</t>
  </si>
  <si>
    <t xml:space="preserve"> 94962 </t>
  </si>
  <si>
    <t>CONCRETO MAGRO PARA LASTRO, TRAÇO 1:4,5:4,5 (EM MASSA SECA DE CIMENTO/ AREIA MÉDIA/ BRITA 1) - PREPARO MECÂNICO COM BETONEIRA 400 L. AF_05/2021</t>
  </si>
  <si>
    <t>m³</t>
  </si>
  <si>
    <t>CARPINTEIRO DE FORMAS COM ENCARGOS COMPLEMENTARES</t>
  </si>
  <si>
    <t xml:space="preserve"> 88316 </t>
  </si>
  <si>
    <t>SERVENTE COM ENCARGOS COMPLEMENTARES</t>
  </si>
  <si>
    <t>Insumo</t>
  </si>
  <si>
    <t>PLACA DE OBRA (PARA CONSTRUCAO CIVIL) EM CHAPA GALVANIZADA *N. 22*, ADESIVADA, DE *2,0 X 1,125* M</t>
  </si>
  <si>
    <t xml:space="preserve"> 00004491 </t>
  </si>
  <si>
    <t>PONTALETE *7,5 X 7,5* CM EM PINUS, MISTA OU EQUIVALENTE DA REGIAO - BRUTA</t>
  </si>
  <si>
    <t>PREGO DE ACO POLIDO COM CABECA 18 X 30 (2 3/4 X 10)</t>
  </si>
  <si>
    <t>SARRAFO NAO APARELHADO *2,5 X 7* CM, EM MACARANDUBA, ANGELIM OU EQUIVALENTE DA REGIAO -  BRUTA</t>
  </si>
  <si>
    <t xml:space="preserve"> 98445 </t>
  </si>
  <si>
    <t>PAREDE DE MADEIRA COMPENSADA PARA CONSTRUÇÃO TEMPORÁRIA EM CHAPA SIMPLES, EXTERNA, COM ÁREA LÍQUIDA MAIOR OU IGUAL A 6 M², COM VÃO. AF_05/2018</t>
  </si>
  <si>
    <t xml:space="preserve"> 98446 </t>
  </si>
  <si>
    <t>PAREDE DE MADEIRA COMPENSADA PARA CONSTRUÇÃO TEMPORÁRIA EM CHAPA SIMPLES, EXTERNA, COM ÁREA LÍQUIDA MENOR QUE 6 M², COM VÃO. AF_05/2018</t>
  </si>
  <si>
    <t xml:space="preserve"> 98442 </t>
  </si>
  <si>
    <t>PAREDE DE MADEIRA COMPENSADA PARA CONSTRUÇÃO TEMPORÁRIA EM CHAPA SIMPLES, EXTERNA, COM ÁREA LÍQUIDA MENOR QUE 6 M², SEM VÃO. AF_05/2018</t>
  </si>
  <si>
    <t xml:space="preserve"> 92543 </t>
  </si>
  <si>
    <t>TRAMA DE MADEIRA COMPOSTA POR TERÇAS PARA TELHADOS DE ATÉ 2 ÁGUAS PARA TELHA ONDULADA DE FIBROCIMENTO, METÁLICA, PLÁSTICA OU TERMOACÚSTICA, INCLUSO TRANSPORTE VERTICAL. AF_07/2019</t>
  </si>
  <si>
    <t xml:space="preserve"> 94210 </t>
  </si>
  <si>
    <t>TELHAMENTO COM TELHA ONDULADA DE FIBROCIMENTO E = 6 MM, COM RECOBRIMENTO LATERAL DE 1 1/4 DE ONDA PARA TELHADO COM INCLINAÇÃO MÁXIMA DE 10°, COM ATÉ 2 ÁGUAS, INCLUSO IÇAMENTO. AF_07/2019</t>
  </si>
  <si>
    <t xml:space="preserve"> 91924 </t>
  </si>
  <si>
    <t>CABO DE COBRE FLEXÍVEL ISOLADO, 1,5 MM², ANTI-CHAMA 450/750 V, PARA CIRCUITOS TERMINAIS - FORNECIMENTO E INSTALAÇÃO. AF_12/2015</t>
  </si>
  <si>
    <t xml:space="preserve"> 97610 </t>
  </si>
  <si>
    <t>LÂMPADA COMPACTA DE LED 10 W, BASE E27 - FORNECIMENTO E INSTALAÇÃO. AF_02/2020</t>
  </si>
  <si>
    <t xml:space="preserve"> 92023 </t>
  </si>
  <si>
    <t>INTERRUPTOR SIMPLES (1 MÓDULO) COM 1 TOMADA DE EMBUTIR 2P+T 10 A,  INCLUINDO SUPORTE E PLACA - FORNECIMENTO E INSTALAÇÃO. AF_12/2015</t>
  </si>
  <si>
    <t xml:space="preserve"> 96995 </t>
  </si>
  <si>
    <t>REATERRO MANUAL APILOADO COM SOQUETE. AF_10/2017</t>
  </si>
  <si>
    <t xml:space="preserve"> 00011455 </t>
  </si>
  <si>
    <t>FERROLHO COM FECHO / TRINCO REDONDO, EM ACO GALVANIZADO / ZINCADO, DE SOBREPOR, COM COMPRIMENTO DE 8" E ESPESSURA MINIMA DA CHAPA DE 1,50 MM</t>
  </si>
  <si>
    <t xml:space="preserve"> 88309 </t>
  </si>
  <si>
    <t>PEDREIRO COM ENCARGOS COMPLEMENTARES</t>
  </si>
  <si>
    <t xml:space="preserve"> 00010928 </t>
  </si>
  <si>
    <t>TELA DE ARAME GALVANIZADA QUADRANGULAR / LOSANGULAR, FIO 2,11 MM (14 BWG), MALHA 8 X 8 CM, H = 2 M</t>
  </si>
  <si>
    <t xml:space="preserve"> 00036797 </t>
  </si>
  <si>
    <t>MOURAO DE CONCRETO CURVO, *10 X 10* CM, H= *2,60* M + CURVA DE 0,40 M</t>
  </si>
  <si>
    <t xml:space="preserve"> 88315 </t>
  </si>
  <si>
    <t>SERRALHEIRO COM ENCARGOS COMPLEMENTARES</t>
  </si>
  <si>
    <t xml:space="preserve"> 00011002 </t>
  </si>
  <si>
    <t>ELETRODO REVESTIDO AWS - E6013, DIAMETRO IGUAL A 2,50 MM</t>
  </si>
  <si>
    <t xml:space="preserve"> 100716 </t>
  </si>
  <si>
    <t>JATEAMENTO ABRASIVO COM GRANALHA DE AÇO EM PERFIL METÁLICO EM FÁBRICA. AF_01/2020</t>
  </si>
  <si>
    <t xml:space="preserve"> 100722 </t>
  </si>
  <si>
    <t>PINTURA COM TINTA ALQUÍDICA DE FUNDO (TIPO ZARCÃO) APLICADA A ROLO OU PINCEL SOBRE SUPERFÍCIES METÁLICAS (EXCETO PERFIL) EXECUTADO EM OBRA (POR DEMÃO). AF_01/2020</t>
  </si>
  <si>
    <t xml:space="preserve"> 100754 </t>
  </si>
  <si>
    <t>PINTURA COM TINTA ACRÍLICA DE ACABAMENTO APLICADA A ROLO OU PINCEL SOBRE SUPERFÍCIES METÁLICAS (EXCETO PERFIL) EXECUTADO EM OBRA (02 DEMÃOS). AF_01/2020</t>
  </si>
  <si>
    <t xml:space="preserve"> 100720 </t>
  </si>
  <si>
    <t>PINTURA COM TINTA ALQUÍDICA DE FUNDO (TIPO ZARCÃO) APLICADA A ROLO OU PINCEL SOBRE PERFIL METÁLICO EXECUTADO EM FÁBRICA (POR DEMÃO). AF_01/2020</t>
  </si>
  <si>
    <t xml:space="preserve"> 100736 </t>
  </si>
  <si>
    <t>PINTURA COM TINTA ACRÍLICA DE ACABAMENTO APLICADA A ROLO OU PINCEL SOBRE SUPERFÍCIES METÁLICAS (EXCETO PERFIL) EXECUTADO EM OBRA (POR DEMÃO). AF_01/2020</t>
  </si>
  <si>
    <t xml:space="preserve"> 88317 </t>
  </si>
  <si>
    <t>SOLDADOR COM ENCARGOS COMPLEMENTARES</t>
  </si>
  <si>
    <t>PARAFUSO FRANCES M16 EM ACO GALVANIZADO, COMPRIMENTO = 45 MM, DIAMETRO = 16 MM, CABECA ABAULADA</t>
  </si>
  <si>
    <t xml:space="preserve"> 1.4.4.1.1 </t>
  </si>
  <si>
    <t>h</t>
  </si>
  <si>
    <t xml:space="preserve"> 1.4.4.1.2 </t>
  </si>
  <si>
    <t xml:space="preserve"> 1.4.4.2.1 </t>
  </si>
  <si>
    <t xml:space="preserve"> 00003767 </t>
  </si>
  <si>
    <t>LIXA EM FOLHA PARA PAREDE OU MADEIRA, NUMERO 120 (COR VERMELHA)</t>
  </si>
  <si>
    <t xml:space="preserve"> 1.5.5.4.2 </t>
  </si>
  <si>
    <t xml:space="preserve"> 1.5.5.4.3 </t>
  </si>
  <si>
    <t xml:space="preserve"> 1.5.5.4.4 </t>
  </si>
  <si>
    <t xml:space="preserve"> 1.5.6.1.3 </t>
  </si>
  <si>
    <t>Valor (R$)</t>
  </si>
  <si>
    <t>%</t>
  </si>
  <si>
    <t>TOTAL GERAL DO ORÇAMENTO:</t>
  </si>
  <si>
    <t>1.1</t>
  </si>
  <si>
    <t>1.2</t>
  </si>
  <si>
    <t>1.3</t>
  </si>
  <si>
    <t>1.4</t>
  </si>
  <si>
    <t>1.5</t>
  </si>
  <si>
    <t>1.6</t>
  </si>
  <si>
    <t>SALA DE ARBITRAGEM E VESTIÁRIO</t>
  </si>
  <si>
    <t>LOCAL:</t>
  </si>
  <si>
    <t>BDI</t>
  </si>
  <si>
    <t>ITEM</t>
  </si>
  <si>
    <t>DISCRIMINAÇÃO</t>
  </si>
  <si>
    <t>PERCENTUAL</t>
  </si>
  <si>
    <t>( % )</t>
  </si>
  <si>
    <t>MAX</t>
  </si>
  <si>
    <t>MIN</t>
  </si>
  <si>
    <t>ADMINISTRAÇÃO DA OBRA</t>
  </si>
  <si>
    <r>
      <rPr>
        <b/>
        <sz val="12"/>
        <rFont val="Arial"/>
        <family val="2"/>
      </rPr>
      <t>AC -</t>
    </r>
    <r>
      <rPr>
        <sz val="12"/>
        <rFont val="Arial"/>
        <family val="2"/>
      </rPr>
      <t xml:space="preserve"> Administração Central</t>
    </r>
  </si>
  <si>
    <r>
      <rPr>
        <b/>
        <sz val="12"/>
        <rFont val="Arial"/>
        <family val="2"/>
      </rPr>
      <t>DF -</t>
    </r>
    <r>
      <rPr>
        <sz val="12"/>
        <rFont val="Arial"/>
        <family val="2"/>
      </rPr>
      <t xml:space="preserve"> Dispesas Financeiras</t>
    </r>
  </si>
  <si>
    <r>
      <rPr>
        <b/>
        <sz val="12"/>
        <rFont val="Arial"/>
        <family val="2"/>
      </rPr>
      <t xml:space="preserve">C - </t>
    </r>
    <r>
      <rPr>
        <sz val="12"/>
        <rFont val="Arial"/>
        <family val="2"/>
      </rPr>
      <t>Riscos</t>
    </r>
  </si>
  <si>
    <r>
      <rPr>
        <b/>
        <sz val="12"/>
        <rFont val="Arial"/>
        <family val="2"/>
      </rPr>
      <t>S -</t>
    </r>
    <r>
      <rPr>
        <sz val="12"/>
        <rFont val="Arial"/>
        <family val="2"/>
      </rPr>
      <t xml:space="preserve"> Seguros</t>
    </r>
  </si>
  <si>
    <r>
      <rPr>
        <b/>
        <sz val="12"/>
        <rFont val="Arial"/>
        <family val="2"/>
      </rPr>
      <t>G -</t>
    </r>
    <r>
      <rPr>
        <sz val="12"/>
        <rFont val="Arial"/>
        <family val="2"/>
      </rPr>
      <t xml:space="preserve"> Garantias</t>
    </r>
  </si>
  <si>
    <t>2.0</t>
  </si>
  <si>
    <t>LUCRO (L)</t>
  </si>
  <si>
    <t>2.1</t>
  </si>
  <si>
    <r>
      <rPr>
        <b/>
        <sz val="12"/>
        <rFont val="Arial"/>
        <family val="2"/>
      </rPr>
      <t>L -</t>
    </r>
    <r>
      <rPr>
        <sz val="12"/>
        <rFont val="Arial"/>
        <family val="2"/>
      </rPr>
      <t xml:space="preserve"> Lucro Operacional</t>
    </r>
  </si>
  <si>
    <t>3.0</t>
  </si>
  <si>
    <t>TRIBUTOS (I)</t>
  </si>
  <si>
    <t>3.1</t>
  </si>
  <si>
    <t>**ISS</t>
  </si>
  <si>
    <t>3.2</t>
  </si>
  <si>
    <t>Cofins</t>
  </si>
  <si>
    <t>3.3</t>
  </si>
  <si>
    <t>Pis</t>
  </si>
  <si>
    <t>3.4</t>
  </si>
  <si>
    <t>CPRB</t>
  </si>
  <si>
    <t>**ISS - Repassado pelo município 5% DE 60% DA NOTA FISCAL (OU 3% DO VALOR TOTAL)</t>
  </si>
  <si>
    <t>Segundo o que determina a lei nº 8.666/93, admite-se fixar o percentual de BDI, desde que seguindo as técnicas da Engenharia e Custos.</t>
  </si>
  <si>
    <t xml:space="preserve">TAXA DE BDI A SER APLICADA 
SOBRE O CUSTO DIRETO </t>
  </si>
  <si>
    <t>Não incidem IRPJ e CSLL na composição de Tributos.</t>
  </si>
  <si>
    <t>CÁLCULO DO BDI</t>
  </si>
  <si>
    <t xml:space="preserve">BDI = </t>
  </si>
  <si>
    <t>( 1 + AC + S + R + G ) ( 1 + DF ) ( 1 + L )</t>
  </si>
  <si>
    <t>(1-I)</t>
  </si>
  <si>
    <t>**ISS -  Imposto Sobre Serviços</t>
  </si>
  <si>
    <t>ISS - Repassado pelo município</t>
  </si>
  <si>
    <t>% SOBRE MÃO DE OBRA</t>
  </si>
  <si>
    <t>OBRA</t>
  </si>
  <si>
    <t>PREFEITURA MUNICIPAL DE CLÁUDIA - MT</t>
  </si>
  <si>
    <t>CRONOGRAMA FISICO FINANCEIRO</t>
  </si>
  <si>
    <t>DESCRIÇÃO / ETAPA</t>
  </si>
  <si>
    <t>A EXECUTAR</t>
  </si>
  <si>
    <t>À EXECUTAR</t>
  </si>
  <si>
    <t>30 DIAS</t>
  </si>
  <si>
    <t>Valor(R$)</t>
  </si>
  <si>
    <t>VALOR TOTAL</t>
  </si>
  <si>
    <t>VALOR ACUMULADO</t>
  </si>
  <si>
    <t>90  DIAS</t>
  </si>
  <si>
    <t>90 DIAS</t>
  </si>
  <si>
    <t>MURETA DO ALAMBRADO</t>
  </si>
  <si>
    <t>VIGA BALDRAME</t>
  </si>
  <si>
    <t xml:space="preserve"> 1.3.1.1.1 </t>
  </si>
  <si>
    <t xml:space="preserve"> 1.3.1.1.2 </t>
  </si>
  <si>
    <t xml:space="preserve"> 96526 </t>
  </si>
  <si>
    <t>ESCAVAÇÃO MANUAL DE VALA PARA VIGA BALDRAME (SEM ESCAVAÇÃO PARA COLOCAÇÃO DE FÔRMAS). AF_06/2017</t>
  </si>
  <si>
    <t xml:space="preserve"> 1.3.1.1.3 </t>
  </si>
  <si>
    <t>VIGA BALDRAME MOLDADA IN LOCO, COM UTILIZAÇÃO DE BLOCO CANALETA</t>
  </si>
  <si>
    <t xml:space="preserve"> 1.3.1.1.4 </t>
  </si>
  <si>
    <t xml:space="preserve"> 96557 </t>
  </si>
  <si>
    <t>CONCRETAGEM DE BLOCOS DE COROAMENTO E VIGAS BALDRAMES, FCK 30 MPA, COM USO DE BOMBA  LANÇAMENTO, ADENSAMENTO E ACABAMENTO. AF_06/2017</t>
  </si>
  <si>
    <t xml:space="preserve"> 1.3.1.1.6 </t>
  </si>
  <si>
    <t xml:space="preserve"> 98557 </t>
  </si>
  <si>
    <t>IMPERMEABILIZAÇÃO DE SUPERFÍCIE COM EMULSÃO ASFÁLTICA, 2 DEMÃOS AF_06/2018</t>
  </si>
  <si>
    <t>MURETA</t>
  </si>
  <si>
    <t xml:space="preserve"> 1.3.1.2.1 </t>
  </si>
  <si>
    <t xml:space="preserve"> 1.3.1.2.2 </t>
  </si>
  <si>
    <t xml:space="preserve"> 1.3.1.2.3 </t>
  </si>
  <si>
    <t xml:space="preserve"> 1.3.2 </t>
  </si>
  <si>
    <t>ESTRUTURA ALAMBRADO</t>
  </si>
  <si>
    <t xml:space="preserve"> 1.3.2.4 </t>
  </si>
  <si>
    <t xml:space="preserve"> 1.3.2.5 </t>
  </si>
  <si>
    <t xml:space="preserve"> 1.3.3 </t>
  </si>
  <si>
    <t>PINTURA MURETA DO ALAMBRADO</t>
  </si>
  <si>
    <t xml:space="preserve"> 1.3.4 </t>
  </si>
  <si>
    <t xml:space="preserve"> 1.4.4 </t>
  </si>
  <si>
    <t xml:space="preserve"> 1.4.4.1 </t>
  </si>
  <si>
    <t xml:space="preserve"> 1.4.4.1.3 </t>
  </si>
  <si>
    <t xml:space="preserve"> 1.4.4.2 </t>
  </si>
  <si>
    <t xml:space="preserve"> 1.4.4.2.2 </t>
  </si>
  <si>
    <t xml:space="preserve"> 1.4.4.2.3 </t>
  </si>
  <si>
    <t xml:space="preserve"> 1.4.4.2.4 </t>
  </si>
  <si>
    <t xml:space="preserve"> 1.4.4.3 </t>
  </si>
  <si>
    <t xml:space="preserve"> 1.4.4.3.1 </t>
  </si>
  <si>
    <t xml:space="preserve"> 1.4.4.3.2 </t>
  </si>
  <si>
    <t xml:space="preserve"> 1.4.4.3.3 </t>
  </si>
  <si>
    <t xml:space="preserve"> 1.5.5 </t>
  </si>
  <si>
    <t xml:space="preserve"> 1.5.6 </t>
  </si>
  <si>
    <t xml:space="preserve"> 1.5.6.1 </t>
  </si>
  <si>
    <t xml:space="preserve"> 1.5.6.1.1 </t>
  </si>
  <si>
    <t xml:space="preserve"> 1.5.6.1.2 </t>
  </si>
  <si>
    <t xml:space="preserve"> 1.5.6.2 </t>
  </si>
  <si>
    <t xml:space="preserve"> 1.5.6.2.1 </t>
  </si>
  <si>
    <t xml:space="preserve"> 1.5.6.2.2 </t>
  </si>
  <si>
    <t xml:space="preserve"> 1.6 </t>
  </si>
  <si>
    <t xml:space="preserve"> 92793 </t>
  </si>
  <si>
    <t>CORTE E DOBRA DE AÇO CA-50, DIÂMETRO DE 8,0 MM, UTILIZADO EM ESTRUTURAS DIVERSAS, EXCETO LAJES. AF_12/2015</t>
  </si>
  <si>
    <t xml:space="preserve"> 90279 </t>
  </si>
  <si>
    <t>GRAUTE FGK=20 MPA; TRAÇO 1:0,04:1,8:2,1 (EM MASSA SECA DE CIMENTO/ CAL/ AREIA GROSSA/ BRITA 0) - PREPARO MECÂNICO COM BETONEIRA 400 L. AF_09/2021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</si>
  <si>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</si>
  <si>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</si>
  <si>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00000659 </t>
  </si>
  <si>
    <t>CANALETA DE CONCRETO 14 X 19 X 19 CM (CLASSE C - NBR 6136)</t>
  </si>
  <si>
    <t xml:space="preserve"> 00006193 </t>
  </si>
  <si>
    <t>TABUA  NAO  APARELHADA  *2,5 X 20* CM, EM MACARANDUBA, ANGELIM OU EQUIVALENTE DA REGIAO - BRUTA</t>
  </si>
  <si>
    <t>COMP02</t>
  </si>
  <si>
    <t>COMP03</t>
  </si>
  <si>
    <t>COMP04</t>
  </si>
  <si>
    <t>COMP05</t>
  </si>
  <si>
    <t>COMP06</t>
  </si>
  <si>
    <t>COMP07</t>
  </si>
  <si>
    <t xml:space="preserve"> 100575 </t>
  </si>
  <si>
    <t>REGULARIZAÇÃO DE SUPERFÍCIES COM MOTONIVELADORA. AF_11/2019</t>
  </si>
  <si>
    <t>DRENAGEM</t>
  </si>
  <si>
    <t xml:space="preserve"> 102690 </t>
  </si>
  <si>
    <t>DRENO ESPINHA DE PEIXE (SEÇÃO (0,40 X 0,40 M), COM TUBO DE PEAD CORRUGADO PERFURADO, DN 100 MM, ENCHIMENTO COM BRITA, ENVOLVIDO COM MANTA GEOTÊXTIL, INCLUSIVE CONEXÕES. AF_07/2021</t>
  </si>
  <si>
    <t xml:space="preserve"> 90694 </t>
  </si>
  <si>
    <t>TUBO DE PVC PARA REDE COLETORA DE ESGOTO DE PAREDE MACIÇA, DN 100 MM, JUNTA ELÁSTICA - FORNECIMENTO E ASSENTAMENTO. AF_01/2021</t>
  </si>
  <si>
    <t xml:space="preserve"> 1.6.2</t>
  </si>
  <si>
    <t xml:space="preserve"> 1.6.3</t>
  </si>
  <si>
    <t xml:space="preserve"> 1.6.4</t>
  </si>
  <si>
    <t xml:space="preserve"> 1.6.5</t>
  </si>
  <si>
    <t>MAPA DE COTAÇÃO</t>
  </si>
  <si>
    <t>COTAÇÃO 01</t>
  </si>
  <si>
    <t>DATA</t>
  </si>
  <si>
    <t>EMPRESA</t>
  </si>
  <si>
    <t xml:space="preserve">TELEFONE </t>
  </si>
  <si>
    <t>VENDEDOR</t>
  </si>
  <si>
    <t>PREÇO</t>
  </si>
  <si>
    <t>MÉDIA</t>
  </si>
  <si>
    <t xml:space="preserve"> Cotação 01</t>
  </si>
  <si>
    <t>PRO CAMPO</t>
  </si>
  <si>
    <t>07.043.604/0001-64</t>
  </si>
  <si>
    <t>(66)99995-4755</t>
  </si>
  <si>
    <t>DANIEL</t>
  </si>
  <si>
    <t>ALVENARIA DE VEDAÇÃO DE BLOCOS CERÂMICOS FURADOS NA HORIZONTAL DE 14X9X19 CM (ESPESSURA 14 CM, BLOCO DEITADO) E ARGAMASSA DE ASSENTAMENTO COM PREPARO EM BETONEIRA. AF_12/2021</t>
  </si>
  <si>
    <t>CNPJ</t>
  </si>
  <si>
    <t xml:space="preserve"> 1.1.4 </t>
  </si>
  <si>
    <t>PLACA DE OBRA EM CHAPA DE AÇO GALVANIZADO</t>
  </si>
  <si>
    <t xml:space="preserve">KG </t>
  </si>
  <si>
    <t>Observação</t>
  </si>
  <si>
    <t>COMPOSIÇÃO BASEADA NA BASE SINAPI CÓD. 74209/001</t>
  </si>
  <si>
    <t>COMP08</t>
  </si>
  <si>
    <t>COMP09</t>
  </si>
  <si>
    <t>COMPOSIÇÃO BASEADA NA BASE SINAPI CÓD. 85005</t>
  </si>
  <si>
    <t xml:space="preserve">SERVENTE COM ENCARGOS COMPLEMENTARES </t>
  </si>
  <si>
    <t xml:space="preserve">VIDRACEIRO COM ENCARGOS COMPLEMENTARES </t>
  </si>
  <si>
    <t xml:space="preserve">ESPELHO CRISTAL E = 4 MM </t>
  </si>
  <si>
    <t>MARCAÇÃO DE PONTOS EM GABARITO OU CAVALETE. AF_10/2018</t>
  </si>
  <si>
    <t>COMP10</t>
  </si>
  <si>
    <t>COMPOSIÇÃO BASEADA NA BASE ORSE CÓD. 7725</t>
  </si>
  <si>
    <t>REMOÇÃO DE PINTURA LÁTEX (RASPAGEM E/OU LIXAMENTO E/OU ESCOVAÇÃO)</t>
  </si>
  <si>
    <t>COMPOSIÇÃO BASEADA NA BASE ORSE CÓD. 2282</t>
  </si>
  <si>
    <t>COMP11</t>
  </si>
  <si>
    <t>PREPARO DE SUPERFÍCIE COM LIXAMENTO E APLICAÇÃO DE 01 DEMÃO DE LÍQUIDO SELADOR ACRÍLICO</t>
  </si>
  <si>
    <t>PINTOR COM ENCARGOS COMPLEMENTARES</t>
  </si>
  <si>
    <t>SELADOR ACRILICO OPACO PREMIUM INTERIOR/EXTERIOR</t>
  </si>
  <si>
    <t>L</t>
  </si>
  <si>
    <t>VÁLVULA DE DESCARGA METÁLICA, BASE 1 1/2", ACABAMENTO METALICO CROMADO - FORNECIMENTO E INSTALAÇÃO. AF_08/2021</t>
  </si>
  <si>
    <t>COMPOSIÇÃO BASEADA NA BASE ORSE CÓD. 4114</t>
  </si>
  <si>
    <t>COMP12</t>
  </si>
  <si>
    <t>TRATAMENTO DE FISSURAS COM ARGAMASSA DE CIMENTO E AREIA TRAÇO 1:6 COM ADITIVO BIANCO OU SIMILAR (SEÇÃO ATÉ 5 X 5 CM)</t>
  </si>
  <si>
    <t>ARGAMASSA TRAÇO 1:6 (EM VOLUME DE CIMENTO E AREIA MÉDIA ÚMIDA) COM ADIÇÃO DE PLASTIFICANTE PARA EMBOÇO/MASSA ÚNICA/ASSENTAMENTO DE ALVENARIA DE VEDAÇÃO, PREPARO MECÂNICO COM MISTURADOR DE EIXO HORIZONTAL DE 300 KG. AF_08/2019</t>
  </si>
  <si>
    <t>COMP13</t>
  </si>
  <si>
    <t>COMPOSIÇÃO BASEADA NA BASE ORSE CÓD. 12561</t>
  </si>
  <si>
    <t xml:space="preserve">ELETRICISTA COM ENCARGOS COMPLEMENTARES </t>
  </si>
  <si>
    <t xml:space="preserve">LÂMPADA LED 50W DE POTÊNCIA, LUZ BRANCA BIVOLT, MARCA LLum OU SIMILAR </t>
  </si>
  <si>
    <t>COTAÇÃO 02</t>
  </si>
  <si>
    <t>CACIQUE MATERIAIS PARA CONSTRUÇÃO</t>
  </si>
  <si>
    <t>78.588.415/0002-04</t>
  </si>
  <si>
    <t>CRISTIANE</t>
  </si>
  <si>
    <t>AGROPECUÁRIA NORTÃO</t>
  </si>
  <si>
    <t>12.431.950/0001-50</t>
  </si>
  <si>
    <t>(66) 99915-1618</t>
  </si>
  <si>
    <t>(66) 3546-1315</t>
  </si>
  <si>
    <t>PATRICIA</t>
  </si>
  <si>
    <t>Cotação 02</t>
  </si>
  <si>
    <t>LÂMPADA DE LED 50W, BULBO, LUZ BRANCA, BIVOLT</t>
  </si>
  <si>
    <t>VESTIÁRIO 1</t>
  </si>
  <si>
    <t>VESTIÁRIO 2</t>
  </si>
  <si>
    <t>BOLETIM DE REFERÊNCIA DE PREÇO - MAR/2022 - DESONERADO</t>
  </si>
  <si>
    <t>GRAMADO</t>
  </si>
  <si>
    <t>1.3.4.1</t>
  </si>
  <si>
    <t>1.3.4.1.1</t>
  </si>
  <si>
    <t>1.3.4.1.2</t>
  </si>
  <si>
    <t>1.3.4.1.3</t>
  </si>
  <si>
    <t>1.3.4.2</t>
  </si>
  <si>
    <t>1.3.4.2.1</t>
  </si>
  <si>
    <t>1.3.4.2.2</t>
  </si>
  <si>
    <t>1.3.4.2.3</t>
  </si>
  <si>
    <t>CAIXA ENTERRADA HIDRÁULICA RETANGULAR EM ALVENARIA COM TIJOLOS CERÂMICOS MACIÇOS, DIMENSÕES INTERNAS: 0,3X0,3X0,3 M PARA REDE DE DRENAGEM. AF_12/2020</t>
  </si>
  <si>
    <t>TRAMA DE AÇO COMPOSTA POR TERÇAS PARA TELHADOS DE ATÉ 2 ÁGUAS PARA TELHA ONDULADA DE FIBROCIMENTO, METÁLICA, PLÁSTICA OU TERMOACÚSTICA, INCLUSO TRANSPORTE VERTICAL. AF_07/2019</t>
  </si>
  <si>
    <t>1.3.2.6</t>
  </si>
  <si>
    <t>1.3.2.6.1</t>
  </si>
  <si>
    <t>FUNDAÇÃO 5 PILARES</t>
  </si>
  <si>
    <t>CONCRETAGEM DE BLOCOS DE COROAMENTO E VIGAS BALDRAMES, FCK 30 MPA, COM USO DE BOMBA LANÇAMENTO, ADENSAMENTO E ACABAMENTO. AF_06/2017</t>
  </si>
  <si>
    <t>1.3.2.6.2</t>
  </si>
  <si>
    <t>ESCAVAÇÃO MANUAL DE VALA COM PROFUNDIDADE MENOR OU IGUAL A 1,30 M. AF_02/2021</t>
  </si>
  <si>
    <t>ALAMBRADO PARA QUADRA POLIESPORTIVA, COM TELA DE ARAME GALVANIZADO, FIO 14 BWG E MALHA QUADRADA 8X8CM (EXCETO MURETA)</t>
  </si>
  <si>
    <t>COTAÇÃO 03</t>
  </si>
  <si>
    <t>PERFIL "U" ENRIJECIDO 100x50x15mm</t>
  </si>
  <si>
    <t>07.525.369/0001-67</t>
  </si>
  <si>
    <t>ACOMETAL COMERCIO DE ACOS LTDA</t>
  </si>
  <si>
    <t>(66) 3511-9200</t>
  </si>
  <si>
    <t>(66) 3515-0505</t>
  </si>
  <si>
    <t>CAMILA</t>
  </si>
  <si>
    <t>JOSIEL</t>
  </si>
  <si>
    <t>50.700.780/0001-50</t>
  </si>
  <si>
    <t>PERFISA INDUSTRIA E COMERCIO DE UTENSILIOS E FERRAMENTAS EIRELI</t>
  </si>
  <si>
    <t>ACOFER INDUSTRIA E COMERCIO DE FERRO LTDA</t>
  </si>
  <si>
    <t>44.226.066/0001-70</t>
  </si>
  <si>
    <t>(66) 99968-7426</t>
  </si>
  <si>
    <t>DILSON</t>
  </si>
  <si>
    <t xml:space="preserve"> Cotação 03</t>
  </si>
  <si>
    <t>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</si>
</sst>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#,##0.00\ %"/>
    <numFmt numFmtId="165" formatCode="#,##0.0000000"/>
    <numFmt numFmtId="166" formatCode="_(* #,##0.00_);_(* \(#,##0.00\);_(* &quot;-&quot;??_);_(@_)"/>
    <numFmt numFmtId="167" formatCode="dd/mm/yy"/>
    <numFmt numFmtId="168" formatCode="#,##0.00000"/>
  </numFmts>
  <fonts count="43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0"/>
      <name val="Arial"/>
      <family val="2"/>
    </font>
    <font>
      <b/>
      <sz val="12"/>
      <name val="Arial"/>
      <family val="1"/>
    </font>
    <font>
      <sz val="10"/>
      <name val="Arial"/>
      <family val="2"/>
    </font>
    <font>
      <sz val="4"/>
      <name val="Arial"/>
      <family val="2"/>
    </font>
    <font>
      <sz val="10"/>
      <color indexed="10"/>
      <name val="Arial"/>
      <family val="2"/>
    </font>
    <font>
      <sz val="3"/>
      <name val="Arial"/>
      <family val="2"/>
    </font>
    <font>
      <b/>
      <sz val="3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b/>
      <sz val="11"/>
      <name val="Arial"/>
      <family val="2"/>
    </font>
    <font>
      <b/>
      <sz val="4"/>
      <name val="Arial"/>
      <family val="2"/>
    </font>
    <font>
      <sz val="12"/>
      <color theme="1"/>
      <name val="Arial"/>
      <family val="2"/>
    </font>
    <font>
      <sz val="10"/>
      <color indexed="50"/>
      <name val="Arial"/>
      <family val="2"/>
    </font>
    <font>
      <sz val="4"/>
      <color indexed="50"/>
      <name val="Arial"/>
      <family val="2"/>
    </font>
    <font>
      <sz val="10"/>
      <color indexed="8"/>
      <name val="Arial"/>
      <family val="2"/>
    </font>
    <font>
      <sz val="4"/>
      <color indexed="8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"/>
      <name val="Arial"/>
      <family val="2"/>
    </font>
    <font>
      <b/>
      <sz val="18"/>
      <color theme="6" tint="-0.49998474074526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theme="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8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7F3D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medium">
        <color indexed="64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CCCCCC"/>
      </bottom>
      <diagonal/>
    </border>
    <border>
      <left/>
      <right style="medium">
        <color indexed="64"/>
      </right>
      <top/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/>
      <diagonal/>
    </border>
    <border>
      <left style="double">
        <color indexed="17"/>
      </left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 style="double">
        <color indexed="17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/>
      <bottom style="double">
        <color indexed="1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4" fillId="0" borderId="0"/>
    <xf numFmtId="0" fontId="9" fillId="0" borderId="0"/>
    <xf numFmtId="166" fontId="9" fillId="0" borderId="0" applyFont="0" applyFill="0" applyBorder="0" applyAlignment="0" applyProtection="0"/>
    <xf numFmtId="0" fontId="40" fillId="0" borderId="0"/>
  </cellStyleXfs>
  <cellXfs count="416">
    <xf numFmtId="0" fontId="0" fillId="0" borderId="0" xfId="0"/>
    <xf numFmtId="0" fontId="0" fillId="0" borderId="0" xfId="0"/>
    <xf numFmtId="0" fontId="7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3" xfId="0" applyNumberFormat="1" applyBorder="1" applyAlignment="1">
      <alignment vertical="center"/>
    </xf>
    <xf numFmtId="44" fontId="0" fillId="0" borderId="3" xfId="1" applyFont="1" applyBorder="1" applyAlignment="1">
      <alignment vertical="center"/>
    </xf>
    <xf numFmtId="44" fontId="7" fillId="0" borderId="4" xfId="1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7" xfId="0" applyNumberFormat="1" applyBorder="1" applyAlignment="1">
      <alignment vertical="center"/>
    </xf>
    <xf numFmtId="44" fontId="0" fillId="0" borderId="7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10" fontId="5" fillId="0" borderId="9" xfId="0" applyNumberFormat="1" applyFont="1" applyBorder="1" applyAlignment="1">
      <alignment vertical="center"/>
    </xf>
    <xf numFmtId="0" fontId="1" fillId="7" borderId="16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44" fontId="0" fillId="0" borderId="0" xfId="1" applyFont="1" applyBorder="1" applyAlignment="1">
      <alignment vertical="center"/>
    </xf>
    <xf numFmtId="44" fontId="7" fillId="7" borderId="38" xfId="1" applyFont="1" applyFill="1" applyBorder="1" applyAlignment="1">
      <alignment vertical="center" wrapText="1"/>
    </xf>
    <xf numFmtId="14" fontId="0" fillId="0" borderId="29" xfId="0" applyNumberFormat="1" applyBorder="1" applyAlignment="1">
      <alignment vertical="center"/>
    </xf>
    <xf numFmtId="0" fontId="3" fillId="7" borderId="16" xfId="0" applyFont="1" applyFill="1" applyBorder="1" applyAlignment="1">
      <alignment horizontal="center" vertical="center" wrapText="1"/>
    </xf>
    <xf numFmtId="2" fontId="3" fillId="7" borderId="16" xfId="0" applyNumberFormat="1" applyFont="1" applyFill="1" applyBorder="1" applyAlignment="1">
      <alignment horizontal="center" vertical="center" wrapText="1"/>
    </xf>
    <xf numFmtId="44" fontId="3" fillId="7" borderId="16" xfId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right" vertical="top" wrapText="1"/>
    </xf>
    <xf numFmtId="0" fontId="1" fillId="7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center" vertical="top" wrapText="1"/>
    </xf>
    <xf numFmtId="165" fontId="4" fillId="6" borderId="1" xfId="0" applyNumberFormat="1" applyFont="1" applyFill="1" applyBorder="1" applyAlignment="1">
      <alignment horizontal="righ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0" fillId="0" borderId="3" xfId="0" applyBorder="1"/>
    <xf numFmtId="2" fontId="0" fillId="0" borderId="3" xfId="0" applyNumberFormat="1" applyBorder="1"/>
    <xf numFmtId="44" fontId="0" fillId="0" borderId="3" xfId="1" applyFont="1" applyBorder="1"/>
    <xf numFmtId="44" fontId="7" fillId="0" borderId="4" xfId="1" applyFont="1" applyBorder="1"/>
    <xf numFmtId="0" fontId="5" fillId="0" borderId="5" xfId="0" applyFont="1" applyBorder="1" applyAlignment="1">
      <alignment horizontal="right"/>
    </xf>
    <xf numFmtId="0" fontId="0" fillId="0" borderId="7" xfId="0" applyBorder="1"/>
    <xf numFmtId="2" fontId="0" fillId="0" borderId="7" xfId="0" applyNumberFormat="1" applyBorder="1"/>
    <xf numFmtId="44" fontId="0" fillId="0" borderId="7" xfId="1" applyFont="1" applyBorder="1"/>
    <xf numFmtId="44" fontId="7" fillId="0" borderId="8" xfId="1" applyFont="1" applyBorder="1"/>
    <xf numFmtId="10" fontId="5" fillId="0" borderId="9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44" fontId="0" fillId="0" borderId="0" xfId="1" applyFont="1" applyBorder="1"/>
    <xf numFmtId="44" fontId="7" fillId="7" borderId="38" xfId="1" applyFont="1" applyFill="1" applyBorder="1" applyAlignment="1">
      <alignment vertical="top" wrapText="1"/>
    </xf>
    <xf numFmtId="14" fontId="0" fillId="0" borderId="29" xfId="0" applyNumberFormat="1" applyBorder="1"/>
    <xf numFmtId="44" fontId="2" fillId="5" borderId="42" xfId="1" applyFont="1" applyFill="1" applyBorder="1" applyAlignment="1">
      <alignment horizontal="right" vertical="top" wrapText="1"/>
    </xf>
    <xf numFmtId="164" fontId="2" fillId="5" borderId="43" xfId="0" applyNumberFormat="1" applyFont="1" applyFill="1" applyBorder="1" applyAlignment="1">
      <alignment horizontal="right" vertical="top" wrapText="1"/>
    </xf>
    <xf numFmtId="44" fontId="2" fillId="5" borderId="46" xfId="1" applyFont="1" applyFill="1" applyBorder="1" applyAlignment="1">
      <alignment horizontal="right" vertical="top" wrapText="1"/>
    </xf>
    <xf numFmtId="44" fontId="8" fillId="7" borderId="8" xfId="1" applyFont="1" applyFill="1" applyBorder="1" applyAlignment="1">
      <alignment vertical="top" wrapText="1"/>
    </xf>
    <xf numFmtId="164" fontId="8" fillId="7" borderId="35" xfId="2" applyNumberFormat="1" applyFont="1" applyFill="1" applyBorder="1" applyAlignment="1">
      <alignment vertical="top" wrapText="1"/>
    </xf>
    <xf numFmtId="0" fontId="9" fillId="0" borderId="0" xfId="3"/>
    <xf numFmtId="0" fontId="9" fillId="0" borderId="48" xfId="3" applyBorder="1"/>
    <xf numFmtId="0" fontId="10" fillId="0" borderId="0" xfId="3" applyFont="1"/>
    <xf numFmtId="0" fontId="9" fillId="0" borderId="49" xfId="3" applyBorder="1"/>
    <xf numFmtId="0" fontId="11" fillId="9" borderId="50" xfId="3" applyFont="1" applyFill="1" applyBorder="1" applyAlignment="1">
      <alignment horizontal="center" vertical="center"/>
    </xf>
    <xf numFmtId="0" fontId="11" fillId="9" borderId="51" xfId="3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3" fillId="10" borderId="0" xfId="4" applyFont="1" applyFill="1" applyAlignment="1">
      <alignment horizontal="right" vertical="center"/>
    </xf>
    <xf numFmtId="4" fontId="12" fillId="10" borderId="0" xfId="4" applyNumberFormat="1" applyFont="1" applyFill="1" applyAlignment="1">
      <alignment vertical="center"/>
    </xf>
    <xf numFmtId="0" fontId="12" fillId="10" borderId="0" xfId="4" applyFont="1" applyFill="1" applyAlignment="1">
      <alignment vertical="center"/>
    </xf>
    <xf numFmtId="0" fontId="9" fillId="0" borderId="0" xfId="4" applyAlignment="1">
      <alignment vertical="center"/>
    </xf>
    <xf numFmtId="0" fontId="14" fillId="10" borderId="0" xfId="4" applyFont="1" applyFill="1" applyAlignment="1">
      <alignment horizontal="right" vertical="center"/>
    </xf>
    <xf numFmtId="0" fontId="14" fillId="10" borderId="0" xfId="4" applyFont="1" applyFill="1" applyAlignment="1">
      <alignment horizontal="center" vertical="center" wrapText="1"/>
    </xf>
    <xf numFmtId="0" fontId="9" fillId="10" borderId="0" xfId="4" applyFill="1" applyAlignment="1">
      <alignment vertical="center"/>
    </xf>
    <xf numFmtId="0" fontId="7" fillId="10" borderId="0" xfId="4" applyFont="1" applyFill="1" applyAlignment="1">
      <alignment horizontal="right" vertical="center"/>
    </xf>
    <xf numFmtId="0" fontId="15" fillId="0" borderId="0" xfId="4" applyFont="1" applyAlignment="1">
      <alignment vertical="center"/>
    </xf>
    <xf numFmtId="0" fontId="16" fillId="10" borderId="0" xfId="4" applyFont="1" applyFill="1" applyAlignment="1">
      <alignment horizontal="right" vertical="center"/>
    </xf>
    <xf numFmtId="0" fontId="19" fillId="10" borderId="0" xfId="4" applyFont="1" applyFill="1" applyAlignment="1">
      <alignment horizontal="center" vertical="center" wrapText="1"/>
    </xf>
    <xf numFmtId="0" fontId="15" fillId="10" borderId="0" xfId="4" applyFont="1" applyFill="1" applyAlignment="1">
      <alignment vertical="center"/>
    </xf>
    <xf numFmtId="0" fontId="12" fillId="10" borderId="11" xfId="4" applyFont="1" applyFill="1" applyBorder="1" applyAlignment="1">
      <alignment horizontal="center" vertical="center"/>
    </xf>
    <xf numFmtId="0" fontId="12" fillId="10" borderId="11" xfId="4" applyFont="1" applyFill="1" applyBorder="1" applyAlignment="1">
      <alignment vertical="center" wrapText="1"/>
    </xf>
    <xf numFmtId="4" fontId="12" fillId="10" borderId="11" xfId="4" applyNumberFormat="1" applyFont="1" applyFill="1" applyBorder="1" applyAlignment="1">
      <alignment vertical="center"/>
    </xf>
    <xf numFmtId="0" fontId="7" fillId="0" borderId="52" xfId="4" applyFont="1" applyBorder="1" applyAlignment="1">
      <alignment vertical="center" wrapText="1"/>
    </xf>
    <xf numFmtId="0" fontId="9" fillId="0" borderId="53" xfId="4" applyBorder="1" applyAlignment="1">
      <alignment vertical="center"/>
    </xf>
    <xf numFmtId="0" fontId="9" fillId="0" borderId="53" xfId="4" applyBorder="1" applyAlignment="1">
      <alignment vertical="center" wrapText="1"/>
    </xf>
    <xf numFmtId="0" fontId="7" fillId="0" borderId="53" xfId="4" applyFont="1" applyBorder="1" applyAlignment="1">
      <alignment horizontal="right" vertical="center" wrapText="1"/>
    </xf>
    <xf numFmtId="14" fontId="9" fillId="0" borderId="54" xfId="4" applyNumberFormat="1" applyBorder="1" applyAlignment="1">
      <alignment horizontal="right" vertical="center"/>
    </xf>
    <xf numFmtId="14" fontId="9" fillId="10" borderId="0" xfId="4" applyNumberFormat="1" applyFill="1" applyAlignment="1">
      <alignment horizontal="right" vertical="center"/>
    </xf>
    <xf numFmtId="0" fontId="7" fillId="0" borderId="55" xfId="4" applyFont="1" applyBorder="1" applyAlignment="1">
      <alignment vertical="center" wrapText="1"/>
    </xf>
    <xf numFmtId="0" fontId="9" fillId="0" borderId="11" xfId="4" applyBorder="1" applyAlignment="1">
      <alignment vertical="center"/>
    </xf>
    <xf numFmtId="10" fontId="9" fillId="0" borderId="57" xfId="5" applyNumberFormat="1" applyFont="1" applyFill="1" applyBorder="1" applyAlignment="1">
      <alignment horizontal="right" vertical="center" wrapText="1"/>
    </xf>
    <xf numFmtId="10" fontId="9" fillId="10" borderId="0" xfId="5" applyNumberFormat="1" applyFont="1" applyFill="1" applyBorder="1" applyAlignment="1">
      <alignment horizontal="right" vertical="center" wrapText="1"/>
    </xf>
    <xf numFmtId="0" fontId="22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7" fillId="10" borderId="6" xfId="3" applyFont="1" applyFill="1" applyBorder="1" applyAlignment="1">
      <alignment horizontal="center"/>
    </xf>
    <xf numFmtId="2" fontId="11" fillId="0" borderId="13" xfId="6" applyNumberFormat="1" applyFont="1" applyBorder="1" applyAlignment="1">
      <alignment horizontal="center" vertical="center"/>
    </xf>
    <xf numFmtId="2" fontId="25" fillId="0" borderId="15" xfId="6" applyNumberFormat="1" applyFont="1" applyBorder="1" applyAlignment="1">
      <alignment horizontal="center" vertical="center"/>
    </xf>
    <xf numFmtId="2" fontId="26" fillId="0" borderId="0" xfId="6" applyNumberFormat="1" applyFont="1" applyAlignment="1">
      <alignment horizontal="center" vertical="center"/>
    </xf>
    <xf numFmtId="0" fontId="18" fillId="0" borderId="6" xfId="3" applyFont="1" applyBorder="1" applyAlignment="1">
      <alignment horizontal="center"/>
    </xf>
    <xf numFmtId="2" fontId="11" fillId="0" borderId="0" xfId="6" applyNumberFormat="1" applyFont="1" applyAlignment="1">
      <alignment horizontal="center" vertical="center"/>
    </xf>
    <xf numFmtId="2" fontId="25" fillId="0" borderId="0" xfId="6" applyNumberFormat="1" applyFont="1" applyAlignment="1">
      <alignment horizontal="center" vertical="center"/>
    </xf>
    <xf numFmtId="0" fontId="18" fillId="0" borderId="30" xfId="3" applyFont="1" applyBorder="1" applyAlignment="1">
      <alignment horizontal="center"/>
    </xf>
    <xf numFmtId="0" fontId="27" fillId="0" borderId="0" xfId="6" applyFont="1" applyAlignment="1">
      <alignment horizontal="center" vertical="center"/>
    </xf>
    <xf numFmtId="0" fontId="28" fillId="0" borderId="0" xfId="6" applyFont="1" applyAlignment="1">
      <alignment horizontal="center" vertical="center"/>
    </xf>
    <xf numFmtId="10" fontId="9" fillId="0" borderId="0" xfId="5" applyNumberFormat="1"/>
    <xf numFmtId="0" fontId="17" fillId="10" borderId="2" xfId="3" applyFont="1" applyFill="1" applyBorder="1" applyAlignment="1">
      <alignment horizontal="center"/>
    </xf>
    <xf numFmtId="10" fontId="0" fillId="0" borderId="0" xfId="5" applyNumberFormat="1" applyFont="1"/>
    <xf numFmtId="10" fontId="10" fillId="0" borderId="0" xfId="5" applyNumberFormat="1" applyFont="1"/>
    <xf numFmtId="10" fontId="11" fillId="9" borderId="63" xfId="5" applyNumberFormat="1" applyFont="1" applyFill="1" applyBorder="1" applyAlignment="1">
      <alignment horizontal="center" vertical="center"/>
    </xf>
    <xf numFmtId="0" fontId="9" fillId="0" borderId="52" xfId="3" applyBorder="1"/>
    <xf numFmtId="0" fontId="31" fillId="0" borderId="53" xfId="3" applyFont="1" applyBorder="1" applyAlignment="1">
      <alignment vertical="center" wrapText="1"/>
    </xf>
    <xf numFmtId="0" fontId="9" fillId="0" borderId="53" xfId="3" applyBorder="1"/>
    <xf numFmtId="0" fontId="9" fillId="0" borderId="54" xfId="3" applyBorder="1"/>
    <xf numFmtId="0" fontId="9" fillId="0" borderId="37" xfId="3" applyBorder="1"/>
    <xf numFmtId="0" fontId="9" fillId="0" borderId="29" xfId="3" applyBorder="1"/>
    <xf numFmtId="0" fontId="32" fillId="0" borderId="0" xfId="3" applyFont="1" applyAlignment="1">
      <alignment horizontal="right" vertical="center"/>
    </xf>
    <xf numFmtId="40" fontId="9" fillId="0" borderId="0" xfId="3" applyNumberFormat="1" applyAlignment="1">
      <alignment horizontal="center" vertical="center"/>
    </xf>
    <xf numFmtId="0" fontId="9" fillId="0" borderId="0" xfId="3" applyAlignment="1">
      <alignment horizontal="left" vertical="center"/>
    </xf>
    <xf numFmtId="10" fontId="18" fillId="0" borderId="13" xfId="3" applyNumberFormat="1" applyFont="1" applyBorder="1" applyAlignment="1">
      <alignment horizontal="center" vertical="center"/>
    </xf>
    <xf numFmtId="0" fontId="33" fillId="0" borderId="0" xfId="3" applyFont="1"/>
    <xf numFmtId="0" fontId="33" fillId="0" borderId="37" xfId="3" applyFont="1" applyBorder="1"/>
    <xf numFmtId="0" fontId="18" fillId="0" borderId="0" xfId="3" applyFont="1"/>
    <xf numFmtId="0" fontId="18" fillId="0" borderId="0" xfId="3" applyFont="1" applyAlignment="1">
      <alignment horizontal="left"/>
    </xf>
    <xf numFmtId="0" fontId="33" fillId="0" borderId="29" xfId="3" applyFont="1" applyBorder="1"/>
    <xf numFmtId="9" fontId="18" fillId="0" borderId="13" xfId="3" applyNumberFormat="1" applyFont="1" applyBorder="1" applyAlignment="1">
      <alignment horizontal="center" vertical="center"/>
    </xf>
    <xf numFmtId="0" fontId="9" fillId="0" borderId="10" xfId="3" applyBorder="1"/>
    <xf numFmtId="9" fontId="9" fillId="0" borderId="11" xfId="3" applyNumberFormat="1" applyBorder="1" applyAlignment="1">
      <alignment horizontal="center" vertical="center"/>
    </xf>
    <xf numFmtId="0" fontId="9" fillId="0" borderId="11" xfId="3" applyBorder="1" applyAlignment="1">
      <alignment horizontal="left" vertical="center"/>
    </xf>
    <xf numFmtId="0" fontId="33" fillId="0" borderId="11" xfId="3" applyFont="1" applyBorder="1"/>
    <xf numFmtId="0" fontId="9" fillId="0" borderId="11" xfId="3" applyBorder="1"/>
    <xf numFmtId="0" fontId="9" fillId="0" borderId="12" xfId="3" applyBorder="1"/>
    <xf numFmtId="10" fontId="7" fillId="0" borderId="53" xfId="8" applyNumberFormat="1" applyFont="1" applyBorder="1" applyAlignment="1">
      <alignment horizontal="center" vertical="center" wrapText="1"/>
    </xf>
    <xf numFmtId="14" fontId="7" fillId="0" borderId="0" xfId="8" applyNumberFormat="1" applyFont="1" applyBorder="1" applyAlignment="1">
      <alignment horizontal="center" vertical="center" wrapText="1"/>
    </xf>
    <xf numFmtId="0" fontId="7" fillId="0" borderId="0" xfId="8" applyNumberFormat="1" applyFont="1" applyBorder="1" applyAlignment="1">
      <alignment horizontal="center" vertical="center" wrapText="1"/>
    </xf>
    <xf numFmtId="167" fontId="7" fillId="0" borderId="0" xfId="8" applyNumberFormat="1" applyFont="1" applyBorder="1" applyAlignment="1">
      <alignment horizontal="right" vertical="center" wrapText="1"/>
    </xf>
    <xf numFmtId="166" fontId="9" fillId="10" borderId="38" xfId="8" applyFont="1" applyFill="1" applyBorder="1" applyAlignment="1">
      <alignment horizontal="center" vertical="center"/>
    </xf>
    <xf numFmtId="10" fontId="7" fillId="11" borderId="68" xfId="5" applyNumberFormat="1" applyFont="1" applyFill="1" applyBorder="1" applyAlignment="1" applyProtection="1">
      <alignment horizontal="right" vertical="center"/>
      <protection locked="0"/>
    </xf>
    <xf numFmtId="10" fontId="9" fillId="10" borderId="8" xfId="5" applyNumberFormat="1" applyFont="1" applyFill="1" applyBorder="1" applyAlignment="1" applyProtection="1">
      <alignment horizontal="right" vertical="center"/>
      <protection locked="0"/>
    </xf>
    <xf numFmtId="10" fontId="7" fillId="10" borderId="70" xfId="5" applyNumberFormat="1" applyFont="1" applyFill="1" applyBorder="1" applyAlignment="1">
      <alignment horizontal="right" vertical="center"/>
    </xf>
    <xf numFmtId="4" fontId="9" fillId="10" borderId="73" xfId="5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top" wrapText="1"/>
    </xf>
    <xf numFmtId="0" fontId="40" fillId="0" borderId="0" xfId="9" applyAlignment="1">
      <alignment vertical="center"/>
    </xf>
    <xf numFmtId="10" fontId="40" fillId="0" borderId="0" xfId="9" applyNumberFormat="1" applyAlignment="1">
      <alignment vertical="center"/>
    </xf>
    <xf numFmtId="0" fontId="34" fillId="9" borderId="0" xfId="9" applyFont="1" applyFill="1" applyAlignment="1">
      <alignment horizontal="center" vertical="center"/>
    </xf>
    <xf numFmtId="0" fontId="35" fillId="9" borderId="0" xfId="9" applyFont="1" applyFill="1" applyAlignment="1">
      <alignment vertical="center"/>
    </xf>
    <xf numFmtId="0" fontId="7" fillId="0" borderId="52" xfId="9" applyFont="1" applyBorder="1" applyAlignment="1">
      <alignment vertical="center" wrapText="1"/>
    </xf>
    <xf numFmtId="10" fontId="7" fillId="0" borderId="53" xfId="9" applyNumberFormat="1" applyFont="1" applyBorder="1" applyAlignment="1">
      <alignment vertical="center"/>
    </xf>
    <xf numFmtId="0" fontId="40" fillId="0" borderId="53" xfId="9" applyBorder="1" applyAlignment="1">
      <alignment vertical="center"/>
    </xf>
    <xf numFmtId="0" fontId="40" fillId="0" borderId="54" xfId="9" applyBorder="1" applyAlignment="1">
      <alignment vertical="center"/>
    </xf>
    <xf numFmtId="0" fontId="7" fillId="0" borderId="37" xfId="9" applyFont="1" applyBorder="1" applyAlignment="1">
      <alignment vertical="center" wrapText="1"/>
    </xf>
    <xf numFmtId="10" fontId="9" fillId="0" borderId="0" xfId="9" applyNumberFormat="1" applyFont="1" applyAlignment="1">
      <alignment vertical="center"/>
    </xf>
    <xf numFmtId="10" fontId="7" fillId="0" borderId="0" xfId="9" applyNumberFormat="1" applyFont="1" applyAlignment="1">
      <alignment vertical="center"/>
    </xf>
    <xf numFmtId="0" fontId="40" fillId="0" borderId="29" xfId="9" applyBorder="1" applyAlignment="1">
      <alignment vertical="center"/>
    </xf>
    <xf numFmtId="0" fontId="9" fillId="0" borderId="0" xfId="9" applyFont="1" applyAlignment="1">
      <alignment vertical="center" wrapText="1"/>
    </xf>
    <xf numFmtId="0" fontId="9" fillId="0" borderId="0" xfId="9" applyFont="1" applyAlignment="1">
      <alignment vertical="center"/>
    </xf>
    <xf numFmtId="0" fontId="7" fillId="10" borderId="35" xfId="9" applyFont="1" applyFill="1" applyBorder="1" applyAlignment="1">
      <alignment horizontal="center" vertical="center"/>
    </xf>
    <xf numFmtId="0" fontId="9" fillId="10" borderId="38" xfId="9" applyFont="1" applyFill="1" applyBorder="1" applyAlignment="1">
      <alignment horizontal="center" vertical="center"/>
    </xf>
    <xf numFmtId="10" fontId="9" fillId="10" borderId="38" xfId="9" applyNumberFormat="1" applyFont="1" applyFill="1" applyBorder="1" applyAlignment="1">
      <alignment horizontal="center" vertical="center"/>
    </xf>
    <xf numFmtId="2" fontId="9" fillId="10" borderId="32" xfId="9" applyNumberFormat="1" applyFont="1" applyFill="1" applyBorder="1" applyAlignment="1">
      <alignment horizontal="center" vertical="center"/>
    </xf>
    <xf numFmtId="0" fontId="11" fillId="0" borderId="0" xfId="9" applyFont="1" applyAlignment="1">
      <alignment vertical="center"/>
    </xf>
    <xf numFmtId="0" fontId="7" fillId="11" borderId="52" xfId="9" applyFont="1" applyFill="1" applyBorder="1" applyAlignment="1">
      <alignment horizontal="center" vertical="center"/>
    </xf>
    <xf numFmtId="0" fontId="7" fillId="11" borderId="68" xfId="9" applyFont="1" applyFill="1" applyBorder="1" applyAlignment="1">
      <alignment horizontal="justify" vertical="center" wrapText="1"/>
    </xf>
    <xf numFmtId="4" fontId="7" fillId="11" borderId="53" xfId="9" applyNumberFormat="1" applyFont="1" applyFill="1" applyBorder="1" applyAlignment="1">
      <alignment horizontal="right" vertical="center"/>
    </xf>
    <xf numFmtId="166" fontId="7" fillId="11" borderId="65" xfId="9" applyNumberFormat="1" applyFont="1" applyFill="1" applyBorder="1" applyAlignment="1">
      <alignment vertical="center"/>
    </xf>
    <xf numFmtId="10" fontId="7" fillId="11" borderId="3" xfId="9" applyNumberFormat="1" applyFont="1" applyFill="1" applyBorder="1" applyAlignment="1">
      <alignment horizontal="center" vertical="center"/>
    </xf>
    <xf numFmtId="166" fontId="7" fillId="11" borderId="3" xfId="9" applyNumberFormat="1" applyFont="1" applyFill="1" applyBorder="1" applyAlignment="1">
      <alignment vertical="center"/>
    </xf>
    <xf numFmtId="10" fontId="7" fillId="11" borderId="5" xfId="9" applyNumberFormat="1" applyFont="1" applyFill="1" applyBorder="1" applyAlignment="1">
      <alignment vertical="center"/>
    </xf>
    <xf numFmtId="168" fontId="38" fillId="0" borderId="0" xfId="9" applyNumberFormat="1" applyFont="1" applyAlignment="1">
      <alignment vertical="center"/>
    </xf>
    <xf numFmtId="0" fontId="39" fillId="0" borderId="0" xfId="9" applyFont="1" applyAlignment="1">
      <alignment vertical="center"/>
    </xf>
    <xf numFmtId="0" fontId="9" fillId="0" borderId="8" xfId="9" applyFont="1" applyBorder="1" applyAlignment="1">
      <alignment horizontal="center" vertical="center"/>
    </xf>
    <xf numFmtId="0" fontId="9" fillId="0" borderId="8" xfId="9" applyFont="1" applyBorder="1" applyAlignment="1">
      <alignment horizontal="left" vertical="center"/>
    </xf>
    <xf numFmtId="4" fontId="9" fillId="0" borderId="8" xfId="9" applyNumberFormat="1" applyFont="1" applyBorder="1" applyAlignment="1">
      <alignment horizontal="center" vertical="center"/>
    </xf>
    <xf numFmtId="166" fontId="9" fillId="0" borderId="8" xfId="9" applyNumberFormat="1" applyFont="1" applyBorder="1" applyAlignment="1">
      <alignment vertical="center"/>
    </xf>
    <xf numFmtId="10" fontId="9" fillId="0" borderId="8" xfId="9" applyNumberFormat="1" applyFont="1" applyBorder="1" applyAlignment="1">
      <alignment horizontal="center" vertical="center"/>
    </xf>
    <xf numFmtId="10" fontId="9" fillId="0" borderId="35" xfId="9" applyNumberFormat="1" applyFont="1" applyBorder="1" applyAlignment="1">
      <alignment vertical="center"/>
    </xf>
    <xf numFmtId="0" fontId="9" fillId="0" borderId="8" xfId="9" applyFont="1" applyBorder="1" applyAlignment="1">
      <alignment horizontal="left" vertical="center" wrapText="1"/>
    </xf>
    <xf numFmtId="0" fontId="38" fillId="0" borderId="0" xfId="9" applyFont="1" applyAlignment="1">
      <alignment vertical="center"/>
    </xf>
    <xf numFmtId="0" fontId="9" fillId="0" borderId="69" xfId="9" applyFont="1" applyBorder="1" applyAlignment="1">
      <alignment horizontal="center" vertical="center"/>
    </xf>
    <xf numFmtId="0" fontId="7" fillId="9" borderId="70" xfId="9" applyFont="1" applyFill="1" applyBorder="1" applyAlignment="1">
      <alignment horizontal="right" vertical="center"/>
    </xf>
    <xf numFmtId="166" fontId="7" fillId="10" borderId="70" xfId="9" applyNumberFormat="1" applyFont="1" applyFill="1" applyBorder="1" applyAlignment="1">
      <alignment vertical="center"/>
    </xf>
    <xf numFmtId="4" fontId="7" fillId="0" borderId="70" xfId="9" applyNumberFormat="1" applyFont="1" applyBorder="1" applyAlignment="1">
      <alignment vertical="center"/>
    </xf>
    <xf numFmtId="10" fontId="7" fillId="0" borderId="70" xfId="9" applyNumberFormat="1" applyFont="1" applyBorder="1" applyAlignment="1">
      <alignment horizontal="center" vertical="center"/>
    </xf>
    <xf numFmtId="166" fontId="7" fillId="0" borderId="70" xfId="9" applyNumberFormat="1" applyFont="1" applyBorder="1" applyAlignment="1">
      <alignment horizontal="center" vertical="center"/>
    </xf>
    <xf numFmtId="10" fontId="7" fillId="0" borderId="71" xfId="9" applyNumberFormat="1" applyFont="1" applyBorder="1" applyAlignment="1">
      <alignment horizontal="right" vertical="center"/>
    </xf>
    <xf numFmtId="0" fontId="9" fillId="0" borderId="72" xfId="9" applyFont="1" applyBorder="1" applyAlignment="1">
      <alignment horizontal="center" vertical="center"/>
    </xf>
    <xf numFmtId="0" fontId="7" fillId="9" borderId="73" xfId="9" applyFont="1" applyFill="1" applyBorder="1" applyAlignment="1">
      <alignment horizontal="right" vertical="center"/>
    </xf>
    <xf numFmtId="166" fontId="9" fillId="10" borderId="73" xfId="9" applyNumberFormat="1" applyFont="1" applyFill="1" applyBorder="1" applyAlignment="1">
      <alignment vertical="center"/>
    </xf>
    <xf numFmtId="4" fontId="7" fillId="0" borderId="73" xfId="9" applyNumberFormat="1" applyFont="1" applyBorder="1" applyAlignment="1">
      <alignment vertical="center"/>
    </xf>
    <xf numFmtId="10" fontId="7" fillId="0" borderId="73" xfId="9" applyNumberFormat="1" applyFont="1" applyBorder="1" applyAlignment="1">
      <alignment horizontal="center" vertical="center"/>
    </xf>
    <xf numFmtId="10" fontId="7" fillId="0" borderId="74" xfId="9" applyNumberFormat="1" applyFont="1" applyBorder="1" applyAlignment="1">
      <alignment horizontal="right" vertical="center"/>
    </xf>
    <xf numFmtId="4" fontId="40" fillId="0" borderId="0" xfId="9" applyNumberFormat="1" applyAlignment="1">
      <alignment vertical="center"/>
    </xf>
    <xf numFmtId="0" fontId="1" fillId="7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2" fontId="0" fillId="0" borderId="0" xfId="0" applyNumberFormat="1" applyAlignment="1">
      <alignment vertical="center"/>
    </xf>
    <xf numFmtId="0" fontId="2" fillId="5" borderId="20" xfId="0" applyFont="1" applyFill="1" applyBorder="1" applyAlignment="1">
      <alignment horizontal="left" vertical="top" wrapText="1"/>
    </xf>
    <xf numFmtId="0" fontId="2" fillId="5" borderId="21" xfId="0" applyFont="1" applyFill="1" applyBorder="1" applyAlignment="1">
      <alignment horizontal="left" vertical="top" wrapText="1"/>
    </xf>
    <xf numFmtId="0" fontId="2" fillId="5" borderId="21" xfId="0" applyFont="1" applyFill="1" applyBorder="1" applyAlignment="1">
      <alignment horizontal="right" vertical="top" wrapText="1"/>
    </xf>
    <xf numFmtId="4" fontId="2" fillId="5" borderId="22" xfId="0" applyNumberFormat="1" applyFont="1" applyFill="1" applyBorder="1" applyAlignment="1">
      <alignment horizontal="right" vertical="top" wrapText="1"/>
    </xf>
    <xf numFmtId="0" fontId="4" fillId="6" borderId="24" xfId="0" applyFont="1" applyFill="1" applyBorder="1" applyAlignment="1">
      <alignment horizontal="left" vertical="top" wrapText="1"/>
    </xf>
    <xf numFmtId="0" fontId="4" fillId="6" borderId="23" xfId="0" applyFont="1" applyFill="1" applyBorder="1" applyAlignment="1">
      <alignment horizontal="right" vertical="top" wrapText="1"/>
    </xf>
    <xf numFmtId="0" fontId="4" fillId="6" borderId="23" xfId="0" applyFont="1" applyFill="1" applyBorder="1" applyAlignment="1">
      <alignment horizontal="left" vertical="top" wrapText="1"/>
    </xf>
    <xf numFmtId="0" fontId="4" fillId="6" borderId="23" xfId="0" applyFont="1" applyFill="1" applyBorder="1" applyAlignment="1">
      <alignment horizontal="center" vertical="top" wrapText="1"/>
    </xf>
    <xf numFmtId="4" fontId="4" fillId="6" borderId="23" xfId="0" applyNumberFormat="1" applyFont="1" applyFill="1" applyBorder="1" applyAlignment="1">
      <alignment horizontal="right" vertical="top" wrapText="1"/>
    </xf>
    <xf numFmtId="0" fontId="4" fillId="6" borderId="25" xfId="0" applyFont="1" applyFill="1" applyBorder="1" applyAlignment="1">
      <alignment horizontal="left" vertical="top" wrapText="1"/>
    </xf>
    <xf numFmtId="0" fontId="4" fillId="6" borderId="19" xfId="0" applyFont="1" applyFill="1" applyBorder="1" applyAlignment="1">
      <alignment horizontal="right" vertical="top" wrapText="1"/>
    </xf>
    <xf numFmtId="0" fontId="4" fillId="6" borderId="19" xfId="0" applyFont="1" applyFill="1" applyBorder="1" applyAlignment="1">
      <alignment horizontal="left" vertical="top" wrapText="1"/>
    </xf>
    <xf numFmtId="0" fontId="4" fillId="6" borderId="19" xfId="0" applyFont="1" applyFill="1" applyBorder="1" applyAlignment="1">
      <alignment horizontal="center" vertical="top" wrapText="1"/>
    </xf>
    <xf numFmtId="4" fontId="4" fillId="6" borderId="19" xfId="0" applyNumberFormat="1" applyFont="1" applyFill="1" applyBorder="1" applyAlignment="1">
      <alignment horizontal="right" vertical="top" wrapText="1"/>
    </xf>
    <xf numFmtId="4" fontId="4" fillId="6" borderId="26" xfId="0" applyNumberFormat="1" applyFont="1" applyFill="1" applyBorder="1" applyAlignment="1">
      <alignment horizontal="right" vertical="top" wrapText="1"/>
    </xf>
    <xf numFmtId="0" fontId="4" fillId="6" borderId="27" xfId="0" applyFont="1" applyFill="1" applyBorder="1" applyAlignment="1">
      <alignment horizontal="left" vertical="top" wrapText="1"/>
    </xf>
    <xf numFmtId="0" fontId="4" fillId="6" borderId="18" xfId="0" applyFont="1" applyFill="1" applyBorder="1" applyAlignment="1">
      <alignment horizontal="right" vertical="top" wrapText="1"/>
    </xf>
    <xf numFmtId="0" fontId="4" fillId="6" borderId="18" xfId="0" applyFont="1" applyFill="1" applyBorder="1" applyAlignment="1">
      <alignment horizontal="left" vertical="top" wrapText="1"/>
    </xf>
    <xf numFmtId="0" fontId="4" fillId="6" borderId="18" xfId="0" applyFont="1" applyFill="1" applyBorder="1" applyAlignment="1">
      <alignment horizontal="center" vertical="top" wrapText="1"/>
    </xf>
    <xf numFmtId="4" fontId="4" fillId="6" borderId="18" xfId="0" applyNumberFormat="1" applyFont="1" applyFill="1" applyBorder="1" applyAlignment="1">
      <alignment horizontal="right" vertical="top" wrapText="1"/>
    </xf>
    <xf numFmtId="0" fontId="4" fillId="6" borderId="28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righ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right" vertical="top" wrapText="1"/>
    </xf>
    <xf numFmtId="0" fontId="4" fillId="4" borderId="18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4" fontId="4" fillId="4" borderId="18" xfId="0" applyNumberFormat="1" applyFont="1" applyFill="1" applyBorder="1" applyAlignment="1">
      <alignment horizontal="right" vertical="top" wrapText="1"/>
    </xf>
    <xf numFmtId="0" fontId="1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0" fillId="0" borderId="0" xfId="0"/>
    <xf numFmtId="4" fontId="5" fillId="7" borderId="0" xfId="0" applyNumberFormat="1" applyFont="1" applyFill="1" applyAlignment="1">
      <alignment horizontal="right" vertical="top" wrapText="1"/>
    </xf>
    <xf numFmtId="0" fontId="5" fillId="7" borderId="0" xfId="0" applyFont="1" applyFill="1" applyAlignment="1">
      <alignment horizontal="right" vertical="top" wrapText="1"/>
    </xf>
    <xf numFmtId="0" fontId="4" fillId="6" borderId="75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4" fontId="9" fillId="0" borderId="35" xfId="1" applyFont="1" applyBorder="1"/>
    <xf numFmtId="0" fontId="9" fillId="0" borderId="31" xfId="0" applyFont="1" applyBorder="1" applyAlignment="1">
      <alignment horizontal="center"/>
    </xf>
    <xf numFmtId="0" fontId="9" fillId="0" borderId="0" xfId="0" applyFont="1"/>
    <xf numFmtId="0" fontId="9" fillId="0" borderId="16" xfId="0" applyFont="1" applyBorder="1" applyAlignment="1">
      <alignment horizontal="center"/>
    </xf>
    <xf numFmtId="44" fontId="9" fillId="0" borderId="16" xfId="1" applyFont="1" applyBorder="1"/>
    <xf numFmtId="14" fontId="9" fillId="0" borderId="77" xfId="0" applyNumberFormat="1" applyFont="1" applyBorder="1" applyAlignment="1">
      <alignment horizontal="center"/>
    </xf>
    <xf numFmtId="0" fontId="9" fillId="0" borderId="53" xfId="0" applyFont="1" applyBorder="1"/>
    <xf numFmtId="0" fontId="9" fillId="0" borderId="0" xfId="0" applyFont="1" applyBorder="1"/>
    <xf numFmtId="0" fontId="5" fillId="3" borderId="1" xfId="0" applyFont="1" applyFill="1" applyBorder="1" applyAlignment="1">
      <alignment horizontal="left" vertical="top" wrapText="1"/>
    </xf>
    <xf numFmtId="0" fontId="5" fillId="7" borderId="0" xfId="0" applyFont="1" applyFill="1" applyAlignment="1">
      <alignment horizontal="right" vertical="top" wrapText="1"/>
    </xf>
    <xf numFmtId="0" fontId="1" fillId="7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9" fillId="0" borderId="62" xfId="0" applyFont="1" applyBorder="1" applyAlignment="1">
      <alignment horizontal="center"/>
    </xf>
    <xf numFmtId="0" fontId="1" fillId="7" borderId="39" xfId="0" applyFont="1" applyFill="1" applyBorder="1" applyAlignment="1">
      <alignment horizontal="left" vertical="top" wrapText="1"/>
    </xf>
    <xf numFmtId="0" fontId="1" fillId="7" borderId="17" xfId="0" applyFont="1" applyFill="1" applyBorder="1" applyAlignment="1">
      <alignment horizontal="right" vertical="top" wrapText="1"/>
    </xf>
    <xf numFmtId="0" fontId="1" fillId="7" borderId="17" xfId="0" applyFont="1" applyFill="1" applyBorder="1" applyAlignment="1">
      <alignment horizontal="left" vertical="top" wrapText="1"/>
    </xf>
    <xf numFmtId="0" fontId="1" fillId="7" borderId="17" xfId="0" applyFont="1" applyFill="1" applyBorder="1" applyAlignment="1">
      <alignment horizontal="center" vertical="top" wrapText="1"/>
    </xf>
    <xf numFmtId="0" fontId="1" fillId="7" borderId="79" xfId="0" applyFont="1" applyFill="1" applyBorder="1" applyAlignment="1">
      <alignment horizontal="right" vertical="top" wrapText="1"/>
    </xf>
    <xf numFmtId="4" fontId="4" fillId="6" borderId="80" xfId="0" applyNumberFormat="1" applyFont="1" applyFill="1" applyBorder="1" applyAlignment="1">
      <alignment horizontal="right" vertical="top" wrapText="1"/>
    </xf>
    <xf numFmtId="0" fontId="5" fillId="2" borderId="28" xfId="0" applyFont="1" applyFill="1" applyBorder="1" applyAlignment="1">
      <alignment horizontal="left" vertical="top" wrapText="1"/>
    </xf>
    <xf numFmtId="4" fontId="5" fillId="2" borderId="80" xfId="0" applyNumberFormat="1" applyFont="1" applyFill="1" applyBorder="1" applyAlignment="1">
      <alignment horizontal="right" vertical="top" wrapText="1"/>
    </xf>
    <xf numFmtId="0" fontId="5" fillId="3" borderId="28" xfId="0" applyFont="1" applyFill="1" applyBorder="1" applyAlignment="1">
      <alignment horizontal="left" vertical="top" wrapText="1"/>
    </xf>
    <xf numFmtId="0" fontId="7" fillId="7" borderId="37" xfId="0" applyFont="1" applyFill="1" applyBorder="1" applyAlignment="1">
      <alignment horizontal="right" vertical="top" wrapText="1"/>
    </xf>
    <xf numFmtId="4" fontId="5" fillId="7" borderId="29" xfId="0" applyNumberFormat="1" applyFont="1" applyFill="1" applyBorder="1" applyAlignment="1">
      <alignment horizontal="right" vertical="top" wrapText="1"/>
    </xf>
    <xf numFmtId="0" fontId="1" fillId="7" borderId="19" xfId="0" applyFont="1" applyFill="1" applyBorder="1" applyAlignment="1">
      <alignment horizontal="right" vertical="top" wrapText="1"/>
    </xf>
    <xf numFmtId="4" fontId="5" fillId="7" borderId="11" xfId="0" applyNumberFormat="1" applyFont="1" applyFill="1" applyBorder="1" applyAlignment="1">
      <alignment horizontal="right" vertical="top" wrapText="1"/>
    </xf>
    <xf numFmtId="0" fontId="1" fillId="7" borderId="19" xfId="0" applyFont="1" applyFill="1" applyBorder="1" applyAlignment="1">
      <alignment horizontal="left" vertical="top" wrapText="1"/>
    </xf>
    <xf numFmtId="0" fontId="1" fillId="7" borderId="19" xfId="0" applyFont="1" applyFill="1" applyBorder="1" applyAlignment="1">
      <alignment horizontal="center" vertical="top" wrapText="1"/>
    </xf>
    <xf numFmtId="0" fontId="9" fillId="0" borderId="6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54" xfId="0" applyFont="1" applyBorder="1"/>
    <xf numFmtId="0" fontId="0" fillId="0" borderId="0" xfId="0"/>
    <xf numFmtId="2" fontId="5" fillId="7" borderId="12" xfId="0" applyNumberFormat="1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" fillId="7" borderId="16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left" vertical="top" wrapText="1"/>
    </xf>
    <xf numFmtId="0" fontId="2" fillId="5" borderId="17" xfId="0" applyFont="1" applyFill="1" applyBorder="1" applyAlignment="1">
      <alignment horizontal="left" vertical="top" wrapText="1"/>
    </xf>
    <xf numFmtId="0" fontId="2" fillId="5" borderId="40" xfId="0" applyFont="1" applyFill="1" applyBorder="1" applyAlignment="1">
      <alignment horizontal="left" vertical="top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44" xfId="0" applyFont="1" applyFill="1" applyBorder="1" applyAlignment="1">
      <alignment horizontal="left" vertical="top" wrapText="1"/>
    </xf>
    <xf numFmtId="0" fontId="8" fillId="7" borderId="47" xfId="0" applyFont="1" applyFill="1" applyBorder="1" applyAlignment="1">
      <alignment horizontal="center" vertical="top" wrapText="1"/>
    </xf>
    <xf numFmtId="0" fontId="8" fillId="7" borderId="7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right" vertical="top" wrapText="1"/>
    </xf>
    <xf numFmtId="0" fontId="3" fillId="7" borderId="8" xfId="0" applyFont="1" applyFill="1" applyBorder="1" applyAlignment="1">
      <alignment horizontal="right" vertical="top" wrapText="1"/>
    </xf>
    <xf numFmtId="4" fontId="3" fillId="7" borderId="36" xfId="0" applyNumberFormat="1" applyFont="1" applyFill="1" applyBorder="1" applyAlignment="1">
      <alignment horizontal="right" vertical="top" wrapText="1"/>
    </xf>
    <xf numFmtId="0" fontId="3" fillId="7" borderId="9" xfId="0" applyFont="1" applyFill="1" applyBorder="1" applyAlignment="1">
      <alignment horizontal="right" vertical="top" wrapText="1"/>
    </xf>
    <xf numFmtId="0" fontId="3" fillId="8" borderId="30" xfId="0" applyFont="1" applyFill="1" applyBorder="1" applyAlignment="1">
      <alignment horizontal="right" vertical="top" wrapText="1"/>
    </xf>
    <xf numFmtId="0" fontId="3" fillId="8" borderId="31" xfId="0" applyFont="1" applyFill="1" applyBorder="1" applyAlignment="1">
      <alignment horizontal="right" vertical="top" wrapText="1"/>
    </xf>
    <xf numFmtId="4" fontId="3" fillId="8" borderId="11" xfId="0" applyNumberFormat="1" applyFont="1" applyFill="1" applyBorder="1" applyAlignment="1">
      <alignment horizontal="right" vertical="top" wrapText="1"/>
    </xf>
    <xf numFmtId="0" fontId="3" fillId="8" borderId="12" xfId="0" applyFont="1" applyFill="1" applyBorder="1" applyAlignment="1">
      <alignment horizontal="right" vertical="top" wrapText="1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" fontId="3" fillId="7" borderId="33" xfId="0" applyNumberFormat="1" applyFont="1" applyFill="1" applyBorder="1" applyAlignment="1">
      <alignment horizontal="right" vertical="top" wrapText="1"/>
    </xf>
    <xf numFmtId="0" fontId="3" fillId="7" borderId="34" xfId="0" applyFont="1" applyFill="1" applyBorder="1" applyAlignment="1">
      <alignment horizontal="right" vertical="top" wrapText="1"/>
    </xf>
    <xf numFmtId="0" fontId="7" fillId="0" borderId="3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3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67" xfId="0" applyFont="1" applyBorder="1" applyAlignment="1">
      <alignment horizontal="left"/>
    </xf>
    <xf numFmtId="0" fontId="9" fillId="0" borderId="60" xfId="0" applyFont="1" applyBorder="1" applyAlignment="1">
      <alignment horizontal="left"/>
    </xf>
    <xf numFmtId="0" fontId="9" fillId="0" borderId="61" xfId="0" applyFont="1" applyBorder="1" applyAlignment="1">
      <alignment horizontal="left"/>
    </xf>
    <xf numFmtId="0" fontId="9" fillId="0" borderId="62" xfId="0" applyFont="1" applyBorder="1" applyAlignment="1">
      <alignment horizontal="left"/>
    </xf>
    <xf numFmtId="0" fontId="5" fillId="7" borderId="11" xfId="0" applyFont="1" applyFill="1" applyBorder="1" applyAlignment="1">
      <alignment horizontal="left" vertical="top" wrapText="1"/>
    </xf>
    <xf numFmtId="0" fontId="7" fillId="0" borderId="65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76" xfId="0" applyFont="1" applyBorder="1" applyAlignment="1">
      <alignment horizontal="left" wrapText="1"/>
    </xf>
    <xf numFmtId="0" fontId="5" fillId="7" borderId="0" xfId="0" applyFont="1" applyFill="1" applyAlignment="1">
      <alignment horizontal="right" vertical="top" wrapText="1"/>
    </xf>
    <xf numFmtId="0" fontId="7" fillId="0" borderId="6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7" borderId="78" xfId="0" applyFont="1" applyFill="1" applyBorder="1" applyAlignment="1">
      <alignment horizontal="right" vertical="top" wrapText="1"/>
    </xf>
    <xf numFmtId="0" fontId="1" fillId="7" borderId="0" xfId="0" applyFont="1" applyFill="1" applyAlignment="1">
      <alignment horizontal="center" wrapText="1"/>
    </xf>
    <xf numFmtId="0" fontId="0" fillId="0" borderId="0" xfId="0"/>
    <xf numFmtId="0" fontId="1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5" fillId="7" borderId="11" xfId="0" applyFont="1" applyFill="1" applyBorder="1" applyAlignment="1">
      <alignment horizontal="right" vertical="top" wrapText="1"/>
    </xf>
    <xf numFmtId="0" fontId="5" fillId="7" borderId="10" xfId="0" applyFont="1" applyFill="1" applyBorder="1" applyAlignment="1">
      <alignment horizontal="left" vertical="top" wrapText="1"/>
    </xf>
    <xf numFmtId="0" fontId="41" fillId="8" borderId="13" xfId="0" applyFont="1" applyFill="1" applyBorder="1" applyAlignment="1">
      <alignment horizontal="center"/>
    </xf>
    <xf numFmtId="0" fontId="41" fillId="8" borderId="14" xfId="0" applyFont="1" applyFill="1" applyBorder="1" applyAlignment="1">
      <alignment horizontal="center"/>
    </xf>
    <xf numFmtId="0" fontId="41" fillId="8" borderId="15" xfId="0" applyFont="1" applyFill="1" applyBorder="1" applyAlignment="1">
      <alignment horizontal="center"/>
    </xf>
    <xf numFmtId="0" fontId="17" fillId="10" borderId="52" xfId="4" applyFont="1" applyFill="1" applyBorder="1" applyAlignment="1">
      <alignment horizontal="center" vertical="center" wrapText="1"/>
    </xf>
    <xf numFmtId="0" fontId="18" fillId="10" borderId="53" xfId="4" applyFont="1" applyFill="1" applyBorder="1" applyAlignment="1">
      <alignment horizontal="center" vertical="center" wrapText="1"/>
    </xf>
    <xf numFmtId="0" fontId="18" fillId="10" borderId="54" xfId="4" applyFont="1" applyFill="1" applyBorder="1" applyAlignment="1">
      <alignment horizontal="center" vertical="center" wrapText="1"/>
    </xf>
    <xf numFmtId="0" fontId="7" fillId="0" borderId="56" xfId="4" applyFont="1" applyBorder="1" applyAlignment="1">
      <alignment horizontal="right" vertical="center"/>
    </xf>
    <xf numFmtId="0" fontId="20" fillId="8" borderId="13" xfId="4" applyFont="1" applyFill="1" applyBorder="1" applyAlignment="1">
      <alignment horizontal="center" vertical="center" wrapText="1"/>
    </xf>
    <xf numFmtId="0" fontId="21" fillId="8" borderId="14" xfId="4" applyFont="1" applyFill="1" applyBorder="1" applyAlignment="1">
      <alignment horizontal="center" vertical="center" wrapText="1"/>
    </xf>
    <xf numFmtId="0" fontId="21" fillId="8" borderId="15" xfId="4" applyFont="1" applyFill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/>
    </xf>
    <xf numFmtId="0" fontId="17" fillId="0" borderId="58" xfId="3" applyFont="1" applyBorder="1" applyAlignment="1">
      <alignment horizontal="center"/>
    </xf>
    <xf numFmtId="0" fontId="17" fillId="0" borderId="8" xfId="3" applyFont="1" applyBorder="1" applyAlignment="1">
      <alignment horizontal="center"/>
    </xf>
    <xf numFmtId="0" fontId="17" fillId="0" borderId="35" xfId="3" applyFont="1" applyBorder="1" applyAlignment="1">
      <alignment horizontal="center"/>
    </xf>
    <xf numFmtId="1" fontId="17" fillId="10" borderId="8" xfId="3" applyNumberFormat="1" applyFont="1" applyFill="1" applyBorder="1" applyAlignment="1">
      <alignment horizontal="center"/>
    </xf>
    <xf numFmtId="4" fontId="17" fillId="10" borderId="8" xfId="3" applyNumberFormat="1" applyFont="1" applyFill="1" applyBorder="1" applyAlignment="1">
      <alignment horizontal="center"/>
    </xf>
    <xf numFmtId="4" fontId="17" fillId="10" borderId="35" xfId="3" applyNumberFormat="1" applyFont="1" applyFill="1" applyBorder="1" applyAlignment="1">
      <alignment horizontal="center"/>
    </xf>
    <xf numFmtId="1" fontId="18" fillId="0" borderId="8" xfId="3" applyNumberFormat="1" applyFont="1" applyBorder="1" applyAlignment="1">
      <alignment horizontal="left"/>
    </xf>
    <xf numFmtId="4" fontId="18" fillId="0" borderId="8" xfId="3" applyNumberFormat="1" applyFont="1" applyBorder="1" applyAlignment="1">
      <alignment horizontal="center"/>
    </xf>
    <xf numFmtId="4" fontId="18" fillId="0" borderId="35" xfId="3" applyNumberFormat="1" applyFont="1" applyBorder="1" applyAlignment="1">
      <alignment horizontal="center"/>
    </xf>
    <xf numFmtId="0" fontId="18" fillId="0" borderId="37" xfId="3" applyFont="1" applyBorder="1" applyAlignment="1">
      <alignment horizontal="center"/>
    </xf>
    <xf numFmtId="0" fontId="18" fillId="0" borderId="0" xfId="3" applyFont="1" applyAlignment="1">
      <alignment horizontal="center"/>
    </xf>
    <xf numFmtId="0" fontId="18" fillId="0" borderId="29" xfId="3" applyFont="1" applyBorder="1" applyAlignment="1">
      <alignment horizontal="center"/>
    </xf>
    <xf numFmtId="1" fontId="18" fillId="0" borderId="31" xfId="3" applyNumberFormat="1" applyFont="1" applyBorder="1" applyAlignment="1">
      <alignment horizontal="left"/>
    </xf>
    <xf numFmtId="4" fontId="18" fillId="0" borderId="31" xfId="3" applyNumberFormat="1" applyFont="1" applyBorder="1" applyAlignment="1">
      <alignment horizontal="center"/>
    </xf>
    <xf numFmtId="4" fontId="18" fillId="0" borderId="59" xfId="3" applyNumberFormat="1" applyFont="1" applyBorder="1" applyAlignment="1">
      <alignment horizontal="center"/>
    </xf>
    <xf numFmtId="1" fontId="17" fillId="10" borderId="4" xfId="3" applyNumberFormat="1" applyFont="1" applyFill="1" applyBorder="1" applyAlignment="1">
      <alignment horizontal="center"/>
    </xf>
    <xf numFmtId="4" fontId="17" fillId="10" borderId="4" xfId="3" applyNumberFormat="1" applyFont="1" applyFill="1" applyBorder="1" applyAlignment="1">
      <alignment horizontal="center"/>
    </xf>
    <xf numFmtId="4" fontId="17" fillId="10" borderId="58" xfId="3" applyNumberFormat="1" applyFont="1" applyFill="1" applyBorder="1" applyAlignment="1">
      <alignment horizontal="center"/>
    </xf>
    <xf numFmtId="1" fontId="18" fillId="0" borderId="60" xfId="3" applyNumberFormat="1" applyFont="1" applyBorder="1" applyAlignment="1">
      <alignment horizontal="left"/>
    </xf>
    <xf numFmtId="1" fontId="18" fillId="0" borderId="61" xfId="3" applyNumberFormat="1" applyFont="1" applyBorder="1" applyAlignment="1">
      <alignment horizontal="left"/>
    </xf>
    <xf numFmtId="1" fontId="18" fillId="0" borderId="62" xfId="3" applyNumberFormat="1" applyFont="1" applyBorder="1" applyAlignment="1">
      <alignment horizontal="left"/>
    </xf>
    <xf numFmtId="0" fontId="18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4" fontId="18" fillId="9" borderId="8" xfId="3" applyNumberFormat="1" applyFont="1" applyFill="1" applyBorder="1" applyAlignment="1">
      <alignment horizontal="center"/>
    </xf>
    <xf numFmtId="4" fontId="18" fillId="9" borderId="35" xfId="3" applyNumberFormat="1" applyFont="1" applyFill="1" applyBorder="1" applyAlignment="1">
      <alignment horizontal="center"/>
    </xf>
    <xf numFmtId="0" fontId="18" fillId="0" borderId="52" xfId="3" applyFont="1" applyBorder="1" applyAlignment="1">
      <alignment horizontal="center"/>
    </xf>
    <xf numFmtId="0" fontId="18" fillId="0" borderId="53" xfId="3" applyFont="1" applyBorder="1" applyAlignment="1">
      <alignment horizontal="center"/>
    </xf>
    <xf numFmtId="0" fontId="18" fillId="0" borderId="54" xfId="3" applyFont="1" applyBorder="1" applyAlignment="1">
      <alignment horizontal="center"/>
    </xf>
    <xf numFmtId="1" fontId="17" fillId="0" borderId="13" xfId="3" applyNumberFormat="1" applyFont="1" applyBorder="1" applyAlignment="1">
      <alignment horizontal="center" vertical="center"/>
    </xf>
    <xf numFmtId="1" fontId="17" fillId="0" borderId="14" xfId="3" applyNumberFormat="1" applyFont="1" applyBorder="1" applyAlignment="1">
      <alignment horizontal="center" vertical="center"/>
    </xf>
    <xf numFmtId="1" fontId="17" fillId="0" borderId="15" xfId="3" applyNumberFormat="1" applyFont="1" applyBorder="1" applyAlignment="1">
      <alignment horizontal="center" vertical="center"/>
    </xf>
    <xf numFmtId="0" fontId="18" fillId="0" borderId="14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29" fillId="8" borderId="52" xfId="3" applyFont="1" applyFill="1" applyBorder="1" applyAlignment="1">
      <alignment horizontal="center" vertical="center" wrapText="1"/>
    </xf>
    <xf numFmtId="0" fontId="29" fillId="8" borderId="53" xfId="3" applyFont="1" applyFill="1" applyBorder="1" applyAlignment="1">
      <alignment horizontal="center" vertical="center" wrapText="1"/>
    </xf>
    <xf numFmtId="0" fontId="29" fillId="8" borderId="54" xfId="3" applyFont="1" applyFill="1" applyBorder="1" applyAlignment="1">
      <alignment horizontal="center" vertical="center" wrapText="1"/>
    </xf>
    <xf numFmtId="0" fontId="29" fillId="8" borderId="10" xfId="3" applyFont="1" applyFill="1" applyBorder="1" applyAlignment="1">
      <alignment horizontal="center" vertical="center" wrapText="1"/>
    </xf>
    <xf numFmtId="0" fontId="29" fillId="8" borderId="11" xfId="3" applyFont="1" applyFill="1" applyBorder="1" applyAlignment="1">
      <alignment horizontal="center" vertical="center" wrapText="1"/>
    </xf>
    <xf numFmtId="0" fontId="29" fillId="8" borderId="12" xfId="3" applyFont="1" applyFill="1" applyBorder="1" applyAlignment="1">
      <alignment horizontal="center" vertical="center" wrapText="1"/>
    </xf>
    <xf numFmtId="10" fontId="30" fillId="8" borderId="53" xfId="3" applyNumberFormat="1" applyFont="1" applyFill="1" applyBorder="1" applyAlignment="1">
      <alignment horizontal="center" vertical="center"/>
    </xf>
    <xf numFmtId="10" fontId="30" fillId="8" borderId="54" xfId="3" applyNumberFormat="1" applyFont="1" applyFill="1" applyBorder="1" applyAlignment="1">
      <alignment horizontal="center" vertical="center"/>
    </xf>
    <xf numFmtId="10" fontId="30" fillId="8" borderId="11" xfId="3" applyNumberFormat="1" applyFont="1" applyFill="1" applyBorder="1" applyAlignment="1">
      <alignment horizontal="center" vertical="center"/>
    </xf>
    <xf numFmtId="10" fontId="30" fillId="8" borderId="12" xfId="3" applyNumberFormat="1" applyFont="1" applyFill="1" applyBorder="1" applyAlignment="1">
      <alignment horizontal="center" vertical="center"/>
    </xf>
    <xf numFmtId="0" fontId="31" fillId="0" borderId="13" xfId="3" applyFont="1" applyBorder="1" applyAlignment="1">
      <alignment horizontal="center" vertical="center"/>
    </xf>
    <xf numFmtId="0" fontId="31" fillId="0" borderId="14" xfId="3" applyFont="1" applyBorder="1" applyAlignment="1">
      <alignment horizontal="center" vertical="center"/>
    </xf>
    <xf numFmtId="0" fontId="31" fillId="0" borderId="15" xfId="3" applyFont="1" applyBorder="1" applyAlignment="1">
      <alignment horizontal="center" vertical="center"/>
    </xf>
    <xf numFmtId="0" fontId="32" fillId="0" borderId="0" xfId="3" applyFont="1" applyAlignment="1">
      <alignment horizontal="right" vertical="center"/>
    </xf>
    <xf numFmtId="0" fontId="9" fillId="0" borderId="56" xfId="3" applyBorder="1" applyAlignment="1">
      <alignment horizontal="center" vertical="center"/>
    </xf>
    <xf numFmtId="0" fontId="9" fillId="0" borderId="0" xfId="3" applyAlignment="1">
      <alignment horizontal="left" vertical="center"/>
    </xf>
    <xf numFmtId="40" fontId="9" fillId="0" borderId="0" xfId="3" applyNumberFormat="1" applyAlignment="1">
      <alignment horizontal="center" vertical="center"/>
    </xf>
    <xf numFmtId="0" fontId="9" fillId="0" borderId="0" xfId="9" applyFont="1" applyAlignment="1">
      <alignment horizontal="left" vertical="center" wrapText="1"/>
    </xf>
    <xf numFmtId="0" fontId="37" fillId="8" borderId="13" xfId="9" applyFont="1" applyFill="1" applyBorder="1" applyAlignment="1">
      <alignment horizontal="center" vertical="center" wrapText="1"/>
    </xf>
    <xf numFmtId="0" fontId="37" fillId="8" borderId="14" xfId="9" applyFont="1" applyFill="1" applyBorder="1" applyAlignment="1">
      <alignment horizontal="center" vertical="center" wrapText="1"/>
    </xf>
    <xf numFmtId="0" fontId="37" fillId="8" borderId="15" xfId="9" applyFont="1" applyFill="1" applyBorder="1" applyAlignment="1">
      <alignment horizontal="center" vertical="center" wrapText="1"/>
    </xf>
    <xf numFmtId="49" fontId="7" fillId="10" borderId="64" xfId="9" applyNumberFormat="1" applyFont="1" applyFill="1" applyBorder="1" applyAlignment="1">
      <alignment horizontal="center" vertical="center" wrapText="1"/>
    </xf>
    <xf numFmtId="49" fontId="7" fillId="10" borderId="66" xfId="9" applyNumberFormat="1" applyFont="1" applyFill="1" applyBorder="1" applyAlignment="1">
      <alignment horizontal="center" vertical="center" wrapText="1"/>
    </xf>
    <xf numFmtId="0" fontId="9" fillId="10" borderId="66" xfId="9" applyFont="1" applyFill="1" applyBorder="1" applyAlignment="1">
      <alignment horizontal="center" vertical="center" wrapText="1"/>
    </xf>
    <xf numFmtId="0" fontId="7" fillId="10" borderId="4" xfId="9" applyFont="1" applyFill="1" applyBorder="1" applyAlignment="1">
      <alignment horizontal="center" vertical="center"/>
    </xf>
    <xf numFmtId="0" fontId="7" fillId="10" borderId="8" xfId="9" applyFont="1" applyFill="1" applyBorder="1" applyAlignment="1">
      <alignment horizontal="center" vertical="center"/>
    </xf>
    <xf numFmtId="0" fontId="9" fillId="10" borderId="38" xfId="9" applyFont="1" applyFill="1" applyBorder="1" applyAlignment="1">
      <alignment horizontal="center" vertical="center"/>
    </xf>
    <xf numFmtId="0" fontId="7" fillId="10" borderId="65" xfId="9" applyFont="1" applyFill="1" applyBorder="1" applyAlignment="1">
      <alignment horizontal="center" vertical="center"/>
    </xf>
    <xf numFmtId="0" fontId="7" fillId="10" borderId="3" xfId="9" applyFont="1" applyFill="1" applyBorder="1" applyAlignment="1">
      <alignment horizontal="center" vertical="center"/>
    </xf>
    <xf numFmtId="0" fontId="7" fillId="10" borderId="5" xfId="9" applyFont="1" applyFill="1" applyBorder="1" applyAlignment="1">
      <alignment horizontal="center" vertical="center"/>
    </xf>
    <xf numFmtId="49" fontId="7" fillId="10" borderId="36" xfId="9" applyNumberFormat="1" applyFont="1" applyFill="1" applyBorder="1" applyAlignment="1">
      <alignment horizontal="center" vertical="center"/>
    </xf>
    <xf numFmtId="49" fontId="7" fillId="10" borderId="67" xfId="9" applyNumberFormat="1" applyFont="1" applyFill="1" applyBorder="1" applyAlignment="1">
      <alignment horizontal="center" vertical="center"/>
    </xf>
    <xf numFmtId="0" fontId="34" fillId="9" borderId="0" xfId="9" applyFont="1" applyFill="1" applyAlignment="1">
      <alignment horizontal="center" vertical="center"/>
    </xf>
    <xf numFmtId="0" fontId="35" fillId="9" borderId="0" xfId="9" applyFont="1" applyFill="1" applyAlignment="1">
      <alignment horizontal="center" vertical="center"/>
    </xf>
    <xf numFmtId="0" fontId="36" fillId="0" borderId="0" xfId="9" applyFont="1" applyAlignment="1">
      <alignment horizontal="center" vertical="center"/>
    </xf>
    <xf numFmtId="0" fontId="9" fillId="0" borderId="53" xfId="9" applyFont="1" applyBorder="1" applyAlignment="1">
      <alignment horizontal="left" vertical="center" wrapText="1"/>
    </xf>
  </cellXfs>
  <cellStyles count="10">
    <cellStyle name="Moeda" xfId="1" builtinId="4"/>
    <cellStyle name="Normal" xfId="0" builtinId="0"/>
    <cellStyle name="Normal 199" xfId="7" xr:uid="{EE8B58EC-9197-4A53-8DF5-1E5B50ADD32C}"/>
    <cellStyle name="Normal 199 2" xfId="9" xr:uid="{99D05051-F152-4FA4-8D59-361F5D631007}"/>
    <cellStyle name="Normal 2 2" xfId="3" xr:uid="{50F04940-0704-4D73-A6FE-026B92589ECB}"/>
    <cellStyle name="Normal 3 2" xfId="6" xr:uid="{D4DC31B7-DF26-4C66-90C2-3581435E2D98}"/>
    <cellStyle name="Normal 6" xfId="4" xr:uid="{246C64FC-B045-455F-8BCA-F2B204374961}"/>
    <cellStyle name="Porcentagem" xfId="2" builtinId="5"/>
    <cellStyle name="Porcentagem 2" xfId="5" xr:uid="{97B4EB5D-13FC-4E67-B446-E44543C2B1A8}"/>
    <cellStyle name="Vírgula 2" xfId="8" xr:uid="{1C43A760-A042-4702-A75A-5DAD70E1AE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116315</xdr:colOff>
      <xdr:row>34</xdr:row>
      <xdr:rowOff>118783</xdr:rowOff>
    </xdr:from>
    <xdr:to>
      <xdr:col>10</xdr:col>
      <xdr:colOff>786090</xdr:colOff>
      <xdr:row>37</xdr:row>
      <xdr:rowOff>52879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D03D128F-F280-4838-98A2-6D92D6830B86}"/>
            </a:ext>
          </a:extLst>
        </xdr:cNvPr>
        <xdr:cNvSpPr/>
      </xdr:nvSpPr>
      <xdr:spPr>
        <a:xfrm>
          <a:off x="3364340" y="8015008"/>
          <a:ext cx="9347050" cy="45797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oneCellAnchor>
    <xdr:from>
      <xdr:col>6</xdr:col>
      <xdr:colOff>2879912</xdr:colOff>
      <xdr:row>47</xdr:row>
      <xdr:rowOff>134470</xdr:rowOff>
    </xdr:from>
    <xdr:ext cx="5939118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6D9BE6C-D80E-4DF7-81AD-F3E69EACEAAE}"/>
            </a:ext>
          </a:extLst>
        </xdr:cNvPr>
        <xdr:cNvSpPr txBox="1"/>
      </xdr:nvSpPr>
      <xdr:spPr>
        <a:xfrm>
          <a:off x="7051862" y="10545295"/>
          <a:ext cx="59391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BDI=              (1+AC+S+R+G)*(1+DF)*(1+L)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/Desktop/Arquivos%20Valdenice/GABRYELLE/CONTRATO%2032%202019%20LENZ/8&#186;%20Termo%20ad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Cronograma"/>
    </sheetNames>
    <sheetDataSet>
      <sheetData sheetId="0">
        <row r="12">
          <cell r="D12" t="str">
            <v>BDI:</v>
          </cell>
        </row>
        <row r="13">
          <cell r="D13" t="str">
            <v>DATA:</v>
          </cell>
        </row>
        <row r="15">
          <cell r="D15" t="str">
            <v>Prazo: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BFD2-0F14-43A1-880D-889923C18FF0}">
  <sheetPr>
    <pageSetUpPr fitToPage="1"/>
  </sheetPr>
  <dimension ref="A1:J13"/>
  <sheetViews>
    <sheetView showOutlineSymbols="0" showWhiteSpace="0" view="pageBreakPreview" zoomScale="90" zoomScaleNormal="100" zoomScaleSheetLayoutView="90" workbookViewId="0">
      <selection activeCell="A5" sqref="A5:J5"/>
    </sheetView>
  </sheetViews>
  <sheetFormatPr defaultRowHeight="14.25" x14ac:dyDescent="0.2"/>
  <cols>
    <col min="1" max="1" width="6.625" customWidth="1"/>
    <col min="2" max="2" width="1.625" customWidth="1"/>
    <col min="3" max="3" width="60" bestFit="1" customWidth="1"/>
    <col min="4" max="4" width="30" bestFit="1" customWidth="1"/>
    <col min="5" max="5" width="5" bestFit="1" customWidth="1"/>
    <col min="6" max="8" width="10" bestFit="1" customWidth="1"/>
    <col min="9" max="9" width="20.5" bestFit="1" customWidth="1"/>
    <col min="10" max="10" width="12.25" bestFit="1" customWidth="1"/>
  </cols>
  <sheetData>
    <row r="1" spans="1:10" x14ac:dyDescent="0.2">
      <c r="A1" s="2" t="s">
        <v>172</v>
      </c>
      <c r="B1" s="272" t="s">
        <v>180</v>
      </c>
      <c r="C1" s="272"/>
      <c r="D1" s="36"/>
      <c r="E1" s="37"/>
      <c r="F1" s="37"/>
      <c r="G1" s="37"/>
      <c r="H1" s="38"/>
      <c r="I1" s="39" t="s">
        <v>173</v>
      </c>
      <c r="J1" s="40" t="s">
        <v>338</v>
      </c>
    </row>
    <row r="2" spans="1:10" x14ac:dyDescent="0.2">
      <c r="A2" s="8" t="s">
        <v>174</v>
      </c>
      <c r="B2" s="273" t="s">
        <v>175</v>
      </c>
      <c r="C2" s="273"/>
      <c r="D2" s="41"/>
      <c r="E2" s="42"/>
      <c r="F2" s="42"/>
      <c r="G2" s="42"/>
      <c r="H2" s="43"/>
      <c r="I2" s="44" t="s">
        <v>176</v>
      </c>
      <c r="J2" s="45">
        <v>0.28000000000000003</v>
      </c>
    </row>
    <row r="3" spans="1:10" x14ac:dyDescent="0.2">
      <c r="A3" s="8" t="s">
        <v>177</v>
      </c>
      <c r="B3" s="273" t="s">
        <v>181</v>
      </c>
      <c r="C3" s="273"/>
      <c r="D3" s="41"/>
      <c r="E3" s="42"/>
      <c r="F3" s="42"/>
      <c r="G3" s="42"/>
      <c r="H3" s="43"/>
      <c r="I3" s="44"/>
      <c r="J3" s="45"/>
    </row>
    <row r="4" spans="1:10" ht="15" thickBot="1" x14ac:dyDescent="0.25">
      <c r="A4" s="15"/>
      <c r="B4" s="46"/>
      <c r="C4" s="47"/>
      <c r="E4" s="48"/>
      <c r="F4" s="48"/>
      <c r="G4" s="48"/>
      <c r="H4" s="49"/>
      <c r="I4" s="50" t="s">
        <v>178</v>
      </c>
      <c r="J4" s="51">
        <v>44685</v>
      </c>
    </row>
    <row r="5" spans="1:10" ht="15" thickBot="1" x14ac:dyDescent="0.25">
      <c r="A5" s="274" t="s">
        <v>179</v>
      </c>
      <c r="B5" s="275"/>
      <c r="C5" s="275"/>
      <c r="D5" s="275"/>
      <c r="E5" s="275"/>
      <c r="F5" s="275"/>
      <c r="G5" s="275"/>
      <c r="H5" s="275"/>
      <c r="I5" s="275"/>
      <c r="J5" s="276"/>
    </row>
    <row r="6" spans="1:10" ht="30" customHeight="1" thickBot="1" x14ac:dyDescent="0.25">
      <c r="A6" s="277" t="s">
        <v>4</v>
      </c>
      <c r="B6" s="277"/>
      <c r="C6" s="278" t="s">
        <v>7</v>
      </c>
      <c r="D6" s="279"/>
      <c r="E6" s="279"/>
      <c r="F6" s="279"/>
      <c r="G6" s="279"/>
      <c r="H6" s="280"/>
      <c r="I6" s="14" t="s">
        <v>279</v>
      </c>
      <c r="J6" s="14" t="s">
        <v>280</v>
      </c>
    </row>
    <row r="7" spans="1:10" x14ac:dyDescent="0.2">
      <c r="A7" s="281" t="s">
        <v>282</v>
      </c>
      <c r="B7" s="282"/>
      <c r="C7" s="283" t="s">
        <v>16</v>
      </c>
      <c r="D7" s="284"/>
      <c r="E7" s="284"/>
      <c r="F7" s="284"/>
      <c r="G7" s="284"/>
      <c r="H7" s="285"/>
      <c r="I7" s="52">
        <f>'Orçamento '!I9</f>
        <v>21336.84</v>
      </c>
      <c r="J7" s="53">
        <f>I7/I13</f>
        <v>8.3123808107968808E-2</v>
      </c>
    </row>
    <row r="8" spans="1:10" x14ac:dyDescent="0.2">
      <c r="A8" s="286" t="s">
        <v>283</v>
      </c>
      <c r="B8" s="287"/>
      <c r="C8" s="288" t="s">
        <v>22</v>
      </c>
      <c r="D8" s="289"/>
      <c r="E8" s="289"/>
      <c r="F8" s="289"/>
      <c r="G8" s="289"/>
      <c r="H8" s="290"/>
      <c r="I8" s="54">
        <f>'Orçamento '!I11</f>
        <v>5682.34</v>
      </c>
      <c r="J8" s="53">
        <f>I8/I13</f>
        <v>2.2137192750390194E-2</v>
      </c>
    </row>
    <row r="9" spans="1:10" x14ac:dyDescent="0.2">
      <c r="A9" s="286" t="s">
        <v>284</v>
      </c>
      <c r="B9" s="287"/>
      <c r="C9" s="288" t="s">
        <v>30</v>
      </c>
      <c r="D9" s="289"/>
      <c r="E9" s="289"/>
      <c r="F9" s="289"/>
      <c r="G9" s="289"/>
      <c r="H9" s="290"/>
      <c r="I9" s="54">
        <f>'Orçamento '!I14</f>
        <v>181198.71</v>
      </c>
      <c r="J9" s="53">
        <f>I9/I13</f>
        <v>0.70591178447471548</v>
      </c>
    </row>
    <row r="10" spans="1:10" x14ac:dyDescent="0.2">
      <c r="A10" s="286" t="s">
        <v>285</v>
      </c>
      <c r="B10" s="287"/>
      <c r="C10" s="288" t="s">
        <v>60</v>
      </c>
      <c r="D10" s="289"/>
      <c r="E10" s="289"/>
      <c r="F10" s="289"/>
      <c r="G10" s="289"/>
      <c r="H10" s="290"/>
      <c r="I10" s="54">
        <f>'Orçamento '!I48</f>
        <v>6063.9</v>
      </c>
      <c r="J10" s="53">
        <f>I10/I13</f>
        <v>2.3623669671137434E-2</v>
      </c>
    </row>
    <row r="11" spans="1:10" x14ac:dyDescent="0.2">
      <c r="A11" s="286" t="s">
        <v>286</v>
      </c>
      <c r="B11" s="287"/>
      <c r="C11" s="288" t="s">
        <v>288</v>
      </c>
      <c r="D11" s="289"/>
      <c r="E11" s="289"/>
      <c r="F11" s="289"/>
      <c r="G11" s="289"/>
      <c r="H11" s="290"/>
      <c r="I11" s="54">
        <f>'Orçamento '!I86</f>
        <v>15263.73</v>
      </c>
      <c r="J11" s="53">
        <f>I11/I13</f>
        <v>5.9464258228109065E-2</v>
      </c>
    </row>
    <row r="12" spans="1:10" x14ac:dyDescent="0.2">
      <c r="A12" s="286" t="s">
        <v>287</v>
      </c>
      <c r="B12" s="287"/>
      <c r="C12" s="288" t="s">
        <v>168</v>
      </c>
      <c r="D12" s="289"/>
      <c r="E12" s="289"/>
      <c r="F12" s="289"/>
      <c r="G12" s="289"/>
      <c r="H12" s="290"/>
      <c r="I12" s="54">
        <f>'Orçamento '!I131</f>
        <v>27141.95</v>
      </c>
      <c r="J12" s="53">
        <f>I12/I13</f>
        <v>0.10573928676767901</v>
      </c>
    </row>
    <row r="13" spans="1:10" ht="15.75" x14ac:dyDescent="0.2">
      <c r="A13" s="291" t="s">
        <v>281</v>
      </c>
      <c r="B13" s="292"/>
      <c r="C13" s="292"/>
      <c r="D13" s="292"/>
      <c r="E13" s="292"/>
      <c r="F13" s="292"/>
      <c r="G13" s="292"/>
      <c r="H13" s="292"/>
      <c r="I13" s="55">
        <f>SUM(I7:I12)</f>
        <v>256687.47</v>
      </c>
      <c r="J13" s="56">
        <f>SUM(J7:J12)</f>
        <v>0.99999999999999989</v>
      </c>
    </row>
  </sheetData>
  <mergeCells count="19">
    <mergeCell ref="A13:H13"/>
    <mergeCell ref="A10:B10"/>
    <mergeCell ref="C10:H10"/>
    <mergeCell ref="A11:B11"/>
    <mergeCell ref="C11:H11"/>
    <mergeCell ref="A12:B12"/>
    <mergeCell ref="C12:H12"/>
    <mergeCell ref="A7:B7"/>
    <mergeCell ref="C7:H7"/>
    <mergeCell ref="A8:B8"/>
    <mergeCell ref="C8:H8"/>
    <mergeCell ref="A9:B9"/>
    <mergeCell ref="C9:H9"/>
    <mergeCell ref="B1:C1"/>
    <mergeCell ref="B2:C2"/>
    <mergeCell ref="B3:C3"/>
    <mergeCell ref="A5:J5"/>
    <mergeCell ref="A6:B6"/>
    <mergeCell ref="C6:H6"/>
  </mergeCells>
  <printOptions horizontalCentered="1" verticalCentered="1"/>
  <pageMargins left="0.51181102362204722" right="0.51181102362204722" top="0.98425196850393704" bottom="0.98425196850393704" header="0.51181102362204722" footer="0.51181102362204722"/>
  <pageSetup paperSize="9" scale="75" fitToHeight="0" orientation="landscape" r:id="rId1"/>
  <headerFooter>
    <oddHeader xml:space="preserve">&amp;L &amp;C&amp;G </oddHeader>
    <oddFooter>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E123-0ABA-438C-87C4-CD1BD5370190}">
  <sheetPr>
    <pageSetUpPr fitToPage="1"/>
  </sheetPr>
  <dimension ref="A1:M139"/>
  <sheetViews>
    <sheetView showOutlineSymbols="0" showWhiteSpace="0" view="pageBreakPreview" zoomScaleNormal="100" zoomScaleSheetLayoutView="100" workbookViewId="0">
      <selection activeCell="A6" sqref="A6:I6"/>
    </sheetView>
  </sheetViews>
  <sheetFormatPr defaultRowHeight="14.25" x14ac:dyDescent="0.2"/>
  <cols>
    <col min="1" max="2" width="10" style="1" bestFit="1" customWidth="1"/>
    <col min="3" max="3" width="13.25" style="1" bestFit="1" customWidth="1"/>
    <col min="4" max="4" width="60" style="1" bestFit="1" customWidth="1"/>
    <col min="5" max="5" width="8" style="1" bestFit="1" customWidth="1"/>
    <col min="6" max="9" width="13" style="1" bestFit="1" customWidth="1"/>
    <col min="10" max="10" width="9" style="1"/>
    <col min="11" max="11" width="9.375" style="1" bestFit="1" customWidth="1"/>
    <col min="12" max="16384" width="9" style="1"/>
  </cols>
  <sheetData>
    <row r="1" spans="1:13" x14ac:dyDescent="0.2">
      <c r="A1" s="2" t="s">
        <v>172</v>
      </c>
      <c r="B1" s="272" t="s">
        <v>180</v>
      </c>
      <c r="C1" s="272"/>
      <c r="D1" s="272"/>
      <c r="E1" s="3"/>
      <c r="F1" s="4"/>
      <c r="G1" s="5"/>
      <c r="H1" s="6" t="s">
        <v>173</v>
      </c>
      <c r="I1" s="7" t="s">
        <v>339</v>
      </c>
    </row>
    <row r="2" spans="1:13" x14ac:dyDescent="0.2">
      <c r="A2" s="8" t="s">
        <v>174</v>
      </c>
      <c r="B2" s="273" t="s">
        <v>175</v>
      </c>
      <c r="C2" s="273"/>
      <c r="D2" s="273"/>
      <c r="E2" s="9"/>
      <c r="F2" s="10"/>
      <c r="G2" s="11"/>
      <c r="H2" s="12" t="s">
        <v>176</v>
      </c>
      <c r="I2" s="13">
        <v>0.28000000000000003</v>
      </c>
    </row>
    <row r="3" spans="1:13" x14ac:dyDescent="0.2">
      <c r="A3" s="8" t="s">
        <v>177</v>
      </c>
      <c r="B3" s="273" t="s">
        <v>181</v>
      </c>
      <c r="C3" s="273"/>
      <c r="D3" s="273"/>
      <c r="E3" s="9"/>
      <c r="F3" s="10"/>
      <c r="G3" s="11"/>
      <c r="H3" s="12"/>
      <c r="I3" s="13"/>
    </row>
    <row r="4" spans="1:13" ht="15" thickBot="1" x14ac:dyDescent="0.25">
      <c r="A4" s="15"/>
      <c r="B4" s="46"/>
      <c r="C4" s="46"/>
      <c r="D4" s="47"/>
      <c r="E4" s="46"/>
      <c r="F4" s="192"/>
      <c r="G4" s="16"/>
      <c r="H4" s="17" t="s">
        <v>178</v>
      </c>
      <c r="I4" s="18">
        <v>44685</v>
      </c>
    </row>
    <row r="5" spans="1:13" ht="15" thickBot="1" x14ac:dyDescent="0.25">
      <c r="A5" s="301" t="s">
        <v>179</v>
      </c>
      <c r="B5" s="302"/>
      <c r="C5" s="302"/>
      <c r="D5" s="302"/>
      <c r="E5" s="302"/>
      <c r="F5" s="302"/>
      <c r="G5" s="302"/>
      <c r="H5" s="302"/>
      <c r="I5" s="303"/>
    </row>
    <row r="6" spans="1:13" ht="15" customHeight="1" thickBot="1" x14ac:dyDescent="0.25">
      <c r="A6" s="304" t="s">
        <v>470</v>
      </c>
      <c r="B6" s="305"/>
      <c r="C6" s="305"/>
      <c r="D6" s="305"/>
      <c r="E6" s="305"/>
      <c r="F6" s="305"/>
      <c r="G6" s="305"/>
      <c r="H6" s="305"/>
      <c r="I6" s="306"/>
    </row>
    <row r="7" spans="1:13" ht="26.25" thickBot="1" x14ac:dyDescent="0.25">
      <c r="A7" s="19" t="s">
        <v>4</v>
      </c>
      <c r="B7" s="19" t="s">
        <v>5</v>
      </c>
      <c r="C7" s="19" t="s">
        <v>6</v>
      </c>
      <c r="D7" s="19" t="s">
        <v>7</v>
      </c>
      <c r="E7" s="19" t="s">
        <v>8</v>
      </c>
      <c r="F7" s="20" t="s">
        <v>9</v>
      </c>
      <c r="G7" s="21" t="s">
        <v>10</v>
      </c>
      <c r="H7" s="21" t="s">
        <v>11</v>
      </c>
      <c r="I7" s="19" t="s">
        <v>12</v>
      </c>
    </row>
    <row r="8" spans="1:13" ht="15" thickBot="1" x14ac:dyDescent="0.25">
      <c r="A8" s="193" t="s">
        <v>13</v>
      </c>
      <c r="B8" s="194"/>
      <c r="C8" s="194"/>
      <c r="D8" s="194" t="s">
        <v>14</v>
      </c>
      <c r="E8" s="194"/>
      <c r="F8" s="195"/>
      <c r="G8" s="194"/>
      <c r="H8" s="194"/>
      <c r="I8" s="196">
        <f>I9+I11+I14+I48+I86+I131</f>
        <v>256687.47</v>
      </c>
    </row>
    <row r="9" spans="1:13" ht="15" thickBot="1" x14ac:dyDescent="0.25">
      <c r="A9" s="193" t="s">
        <v>15</v>
      </c>
      <c r="B9" s="194"/>
      <c r="C9" s="194"/>
      <c r="D9" s="194" t="s">
        <v>16</v>
      </c>
      <c r="E9" s="194"/>
      <c r="F9" s="195"/>
      <c r="G9" s="194"/>
      <c r="H9" s="194"/>
      <c r="I9" s="196">
        <f>SUM(I10)</f>
        <v>21336.84</v>
      </c>
    </row>
    <row r="10" spans="1:13" ht="15" thickBot="1" x14ac:dyDescent="0.25">
      <c r="A10" s="197" t="s">
        <v>17</v>
      </c>
      <c r="B10" s="198" t="s">
        <v>185</v>
      </c>
      <c r="C10" s="199" t="s">
        <v>18</v>
      </c>
      <c r="D10" s="199" t="s">
        <v>19</v>
      </c>
      <c r="E10" s="200" t="s">
        <v>20</v>
      </c>
      <c r="F10" s="198">
        <v>3</v>
      </c>
      <c r="G10" s="201">
        <f>Composições!H6</f>
        <v>5556.47</v>
      </c>
      <c r="H10" s="201">
        <f>G10*(1+28%)</f>
        <v>7112.2816000000003</v>
      </c>
      <c r="I10" s="207">
        <f>TRUNC(H10*F10,2)</f>
        <v>21336.84</v>
      </c>
      <c r="K10" s="1">
        <f>G10*F10</f>
        <v>16669.41</v>
      </c>
    </row>
    <row r="11" spans="1:13" ht="15" thickBot="1" x14ac:dyDescent="0.25">
      <c r="A11" s="193" t="s">
        <v>21</v>
      </c>
      <c r="B11" s="194"/>
      <c r="C11" s="194"/>
      <c r="D11" s="194" t="s">
        <v>22</v>
      </c>
      <c r="E11" s="194"/>
      <c r="F11" s="195"/>
      <c r="G11" s="194"/>
      <c r="H11" s="194"/>
      <c r="I11" s="196">
        <f>SUM(I12:I13)</f>
        <v>5682.34</v>
      </c>
      <c r="K11" s="268">
        <f t="shared" ref="K11:K78" si="0">G11*F11</f>
        <v>0</v>
      </c>
    </row>
    <row r="12" spans="1:13" x14ac:dyDescent="0.2">
      <c r="A12" s="202" t="s">
        <v>23</v>
      </c>
      <c r="B12" s="198" t="s">
        <v>395</v>
      </c>
      <c r="C12" s="204" t="s">
        <v>24</v>
      </c>
      <c r="D12" s="204" t="s">
        <v>25</v>
      </c>
      <c r="E12" s="205" t="s">
        <v>26</v>
      </c>
      <c r="F12" s="203">
        <v>2.4</v>
      </c>
      <c r="G12" s="206">
        <f>Composições!H13</f>
        <v>321.68999999999994</v>
      </c>
      <c r="H12" s="206">
        <f>G12*(1+28%)</f>
        <v>411.76319999999993</v>
      </c>
      <c r="I12" s="207">
        <f>TRUNC(H12*F12,2)</f>
        <v>988.23</v>
      </c>
      <c r="K12" s="268">
        <f t="shared" si="0"/>
        <v>772.05599999999981</v>
      </c>
    </row>
    <row r="13" spans="1:13" ht="26.25" thickBot="1" x14ac:dyDescent="0.25">
      <c r="A13" s="208" t="s">
        <v>27</v>
      </c>
      <c r="B13" s="209" t="s">
        <v>396</v>
      </c>
      <c r="C13" s="210" t="s">
        <v>18</v>
      </c>
      <c r="D13" s="210" t="s">
        <v>28</v>
      </c>
      <c r="E13" s="211" t="s">
        <v>26</v>
      </c>
      <c r="F13" s="209">
        <v>8</v>
      </c>
      <c r="G13" s="212">
        <f>Composições!H24</f>
        <v>458.41</v>
      </c>
      <c r="H13" s="206">
        <f>G13*(1+28%)</f>
        <v>586.76480000000004</v>
      </c>
      <c r="I13" s="207">
        <f t="shared" ref="I13" si="1">TRUNC(H13*F13,2)</f>
        <v>4694.1099999999997</v>
      </c>
      <c r="K13" s="268">
        <f t="shared" si="0"/>
        <v>3667.28</v>
      </c>
      <c r="M13" s="1">
        <f>K12+K13</f>
        <v>4439.3360000000002</v>
      </c>
    </row>
    <row r="14" spans="1:13" ht="15" thickBot="1" x14ac:dyDescent="0.25">
      <c r="A14" s="193" t="s">
        <v>29</v>
      </c>
      <c r="B14" s="194"/>
      <c r="C14" s="194"/>
      <c r="D14" s="194" t="s">
        <v>30</v>
      </c>
      <c r="E14" s="194"/>
      <c r="F14" s="195"/>
      <c r="G14" s="194"/>
      <c r="H14" s="194"/>
      <c r="I14" s="196">
        <f>I15+I26+I35+I39</f>
        <v>181198.71</v>
      </c>
      <c r="K14" s="268">
        <f t="shared" si="0"/>
        <v>0</v>
      </c>
    </row>
    <row r="15" spans="1:13" ht="15" thickBot="1" x14ac:dyDescent="0.25">
      <c r="A15" s="193" t="s">
        <v>31</v>
      </c>
      <c r="B15" s="194"/>
      <c r="C15" s="194"/>
      <c r="D15" s="194" t="s">
        <v>340</v>
      </c>
      <c r="E15" s="194"/>
      <c r="F15" s="195"/>
      <c r="G15" s="194"/>
      <c r="H15" s="194"/>
      <c r="I15" s="196">
        <f>I16+I22</f>
        <v>35540.92</v>
      </c>
      <c r="K15" s="268">
        <f t="shared" si="0"/>
        <v>0</v>
      </c>
    </row>
    <row r="16" spans="1:13" ht="15" thickBot="1" x14ac:dyDescent="0.25">
      <c r="A16" s="193" t="s">
        <v>32</v>
      </c>
      <c r="B16" s="194"/>
      <c r="C16" s="194"/>
      <c r="D16" s="194" t="s">
        <v>341</v>
      </c>
      <c r="E16" s="194"/>
      <c r="F16" s="195"/>
      <c r="G16" s="194"/>
      <c r="H16" s="194"/>
      <c r="I16" s="196">
        <f>SUM(I17:I21)</f>
        <v>14858.8</v>
      </c>
      <c r="K16" s="268">
        <f t="shared" si="0"/>
        <v>0</v>
      </c>
    </row>
    <row r="17" spans="1:13" x14ac:dyDescent="0.2">
      <c r="A17" s="202" t="s">
        <v>342</v>
      </c>
      <c r="B17" s="203">
        <v>99062</v>
      </c>
      <c r="C17" s="204" t="s">
        <v>24</v>
      </c>
      <c r="D17" s="204" t="s">
        <v>438</v>
      </c>
      <c r="E17" s="205" t="s">
        <v>56</v>
      </c>
      <c r="F17" s="203">
        <v>67</v>
      </c>
      <c r="G17" s="206">
        <v>1.89</v>
      </c>
      <c r="H17" s="206">
        <f>G17*(1+28%)</f>
        <v>2.4192</v>
      </c>
      <c r="I17" s="207">
        <f>TRUNC(H17*F17,2)</f>
        <v>162.08000000000001</v>
      </c>
      <c r="K17" s="268">
        <f t="shared" si="0"/>
        <v>126.63</v>
      </c>
    </row>
    <row r="18" spans="1:13" ht="24" customHeight="1" x14ac:dyDescent="0.2">
      <c r="A18" s="213" t="s">
        <v>343</v>
      </c>
      <c r="B18" s="24" t="s">
        <v>344</v>
      </c>
      <c r="C18" s="137" t="s">
        <v>24</v>
      </c>
      <c r="D18" s="137" t="s">
        <v>345</v>
      </c>
      <c r="E18" s="25" t="s">
        <v>216</v>
      </c>
      <c r="F18" s="24">
        <v>4.26</v>
      </c>
      <c r="G18" s="27">
        <v>229.21</v>
      </c>
      <c r="H18" s="206">
        <f t="shared" ref="H18:H47" si="2">G18*(1+28%)</f>
        <v>293.3888</v>
      </c>
      <c r="I18" s="207">
        <f t="shared" ref="I18:I21" si="3">TRUNC(H18*F18,2)</f>
        <v>1249.83</v>
      </c>
      <c r="K18" s="268">
        <f t="shared" si="0"/>
        <v>976.43459999999993</v>
      </c>
      <c r="M18" s="1">
        <f>SUM(K17:K21)</f>
        <v>11608.451800000001</v>
      </c>
    </row>
    <row r="19" spans="1:13" ht="25.5" x14ac:dyDescent="0.2">
      <c r="A19" s="213" t="s">
        <v>346</v>
      </c>
      <c r="B19" s="24" t="s">
        <v>397</v>
      </c>
      <c r="C19" s="137" t="s">
        <v>18</v>
      </c>
      <c r="D19" s="137" t="s">
        <v>347</v>
      </c>
      <c r="E19" s="25" t="s">
        <v>39</v>
      </c>
      <c r="F19" s="24">
        <v>160</v>
      </c>
      <c r="G19" s="27">
        <f>Composições!H39</f>
        <v>43.589999999999996</v>
      </c>
      <c r="H19" s="206">
        <f t="shared" si="2"/>
        <v>55.795199999999994</v>
      </c>
      <c r="I19" s="207">
        <f t="shared" si="3"/>
        <v>8927.23</v>
      </c>
      <c r="K19" s="268">
        <f t="shared" si="0"/>
        <v>6974.4</v>
      </c>
    </row>
    <row r="20" spans="1:13" ht="38.25" x14ac:dyDescent="0.2">
      <c r="A20" s="213" t="s">
        <v>348</v>
      </c>
      <c r="B20" s="24" t="s">
        <v>349</v>
      </c>
      <c r="C20" s="137" t="s">
        <v>24</v>
      </c>
      <c r="D20" s="137" t="s">
        <v>350</v>
      </c>
      <c r="E20" s="25" t="s">
        <v>216</v>
      </c>
      <c r="F20" s="24">
        <v>2.72</v>
      </c>
      <c r="G20" s="27">
        <v>772.01</v>
      </c>
      <c r="H20" s="206">
        <f t="shared" si="2"/>
        <v>988.17280000000005</v>
      </c>
      <c r="I20" s="207">
        <f t="shared" si="3"/>
        <v>2687.83</v>
      </c>
      <c r="K20" s="268">
        <f t="shared" si="0"/>
        <v>2099.8672000000001</v>
      </c>
    </row>
    <row r="21" spans="1:13" ht="26.25" thickBot="1" x14ac:dyDescent="0.25">
      <c r="A21" s="208" t="s">
        <v>351</v>
      </c>
      <c r="B21" s="209" t="s">
        <v>352</v>
      </c>
      <c r="C21" s="210" t="s">
        <v>24</v>
      </c>
      <c r="D21" s="210" t="s">
        <v>353</v>
      </c>
      <c r="E21" s="211" t="s">
        <v>26</v>
      </c>
      <c r="F21" s="209">
        <v>24</v>
      </c>
      <c r="G21" s="212">
        <v>59.63</v>
      </c>
      <c r="H21" s="206">
        <f t="shared" si="2"/>
        <v>76.326400000000007</v>
      </c>
      <c r="I21" s="207">
        <f t="shared" si="3"/>
        <v>1831.83</v>
      </c>
      <c r="K21" s="268">
        <f t="shared" si="0"/>
        <v>1431.1200000000001</v>
      </c>
    </row>
    <row r="22" spans="1:13" ht="15" thickBot="1" x14ac:dyDescent="0.25">
      <c r="A22" s="193" t="s">
        <v>33</v>
      </c>
      <c r="B22" s="194"/>
      <c r="C22" s="194"/>
      <c r="D22" s="194" t="s">
        <v>354</v>
      </c>
      <c r="E22" s="194"/>
      <c r="F22" s="195"/>
      <c r="G22" s="194"/>
      <c r="H22" s="194"/>
      <c r="I22" s="196">
        <f>SUM(I23:I25)</f>
        <v>20682.12</v>
      </c>
      <c r="K22" s="268">
        <f t="shared" si="0"/>
        <v>0</v>
      </c>
    </row>
    <row r="23" spans="1:13" ht="51" x14ac:dyDescent="0.2">
      <c r="A23" s="202" t="s">
        <v>355</v>
      </c>
      <c r="B23" s="203">
        <v>103334</v>
      </c>
      <c r="C23" s="204" t="s">
        <v>24</v>
      </c>
      <c r="D23" s="204" t="s">
        <v>425</v>
      </c>
      <c r="E23" s="205" t="s">
        <v>26</v>
      </c>
      <c r="F23" s="203">
        <v>77.099999999999994</v>
      </c>
      <c r="G23" s="206">
        <v>124.54</v>
      </c>
      <c r="H23" s="206">
        <f t="shared" si="2"/>
        <v>159.41120000000001</v>
      </c>
      <c r="I23" s="207">
        <f>TRUNC(H23*F23,2)</f>
        <v>12290.6</v>
      </c>
      <c r="K23" s="268">
        <f t="shared" si="0"/>
        <v>9602.0339999999997</v>
      </c>
    </row>
    <row r="24" spans="1:13" ht="38.25" x14ac:dyDescent="0.2">
      <c r="A24" s="213" t="s">
        <v>356</v>
      </c>
      <c r="B24" s="24" t="s">
        <v>34</v>
      </c>
      <c r="C24" s="137" t="s">
        <v>24</v>
      </c>
      <c r="D24" s="137" t="s">
        <v>35</v>
      </c>
      <c r="E24" s="25" t="s">
        <v>26</v>
      </c>
      <c r="F24" s="24">
        <v>177.33</v>
      </c>
      <c r="G24" s="27">
        <v>3.44</v>
      </c>
      <c r="H24" s="206">
        <f t="shared" si="2"/>
        <v>4.4032</v>
      </c>
      <c r="I24" s="207">
        <f t="shared" ref="I24:I25" si="4">TRUNC(H24*F24,2)</f>
        <v>780.81</v>
      </c>
      <c r="K24" s="268">
        <f t="shared" si="0"/>
        <v>610.01520000000005</v>
      </c>
      <c r="M24" s="1">
        <f>SUM(K23:K25)</f>
        <v>16157.9241</v>
      </c>
    </row>
    <row r="25" spans="1:13" ht="51.75" thickBot="1" x14ac:dyDescent="0.25">
      <c r="A25" s="208" t="s">
        <v>357</v>
      </c>
      <c r="B25" s="209" t="s">
        <v>36</v>
      </c>
      <c r="C25" s="210" t="s">
        <v>24</v>
      </c>
      <c r="D25" s="210" t="s">
        <v>37</v>
      </c>
      <c r="E25" s="211" t="s">
        <v>26</v>
      </c>
      <c r="F25" s="209">
        <v>177.33</v>
      </c>
      <c r="G25" s="212">
        <v>33.53</v>
      </c>
      <c r="H25" s="206">
        <f t="shared" si="2"/>
        <v>42.918400000000005</v>
      </c>
      <c r="I25" s="207">
        <f t="shared" si="4"/>
        <v>7610.71</v>
      </c>
      <c r="K25" s="268">
        <f t="shared" si="0"/>
        <v>5945.8749000000007</v>
      </c>
    </row>
    <row r="26" spans="1:13" ht="15" thickBot="1" x14ac:dyDescent="0.25">
      <c r="A26" s="193" t="s">
        <v>358</v>
      </c>
      <c r="B26" s="194"/>
      <c r="C26" s="194"/>
      <c r="D26" s="194" t="s">
        <v>359</v>
      </c>
      <c r="E26" s="194"/>
      <c r="F26" s="195"/>
      <c r="G26" s="194"/>
      <c r="H26" s="194"/>
      <c r="I26" s="196">
        <f>SUM(I27:I32)</f>
        <v>40832.82</v>
      </c>
      <c r="K26" s="268">
        <f t="shared" si="0"/>
        <v>0</v>
      </c>
    </row>
    <row r="27" spans="1:13" ht="25.5" x14ac:dyDescent="0.2">
      <c r="A27" s="202" t="s">
        <v>186</v>
      </c>
      <c r="B27" s="203" t="s">
        <v>398</v>
      </c>
      <c r="C27" s="204" t="s">
        <v>18</v>
      </c>
      <c r="D27" s="204" t="s">
        <v>38</v>
      </c>
      <c r="E27" s="205" t="s">
        <v>39</v>
      </c>
      <c r="F27" s="203">
        <v>104.2</v>
      </c>
      <c r="G27" s="206">
        <f>Composições!H52</f>
        <v>90.929999999999993</v>
      </c>
      <c r="H27" s="206">
        <f t="shared" si="2"/>
        <v>116.3904</v>
      </c>
      <c r="I27" s="207">
        <f>TRUNC(H27*F27,2)</f>
        <v>12127.87</v>
      </c>
      <c r="K27" s="268">
        <f t="shared" si="0"/>
        <v>9474.905999999999</v>
      </c>
    </row>
    <row r="28" spans="1:13" ht="38.25" x14ac:dyDescent="0.2">
      <c r="A28" s="213" t="s">
        <v>187</v>
      </c>
      <c r="B28" s="24" t="s">
        <v>399</v>
      </c>
      <c r="C28" s="137" t="s">
        <v>18</v>
      </c>
      <c r="D28" s="137" t="s">
        <v>488</v>
      </c>
      <c r="E28" s="25" t="s">
        <v>26</v>
      </c>
      <c r="F28" s="24">
        <v>200</v>
      </c>
      <c r="G28" s="27">
        <f>Composições!H62</f>
        <v>92.230000000000018</v>
      </c>
      <c r="H28" s="206">
        <f t="shared" si="2"/>
        <v>118.05440000000003</v>
      </c>
      <c r="I28" s="207">
        <f>TRUNC(H28*F28,2)</f>
        <v>23610.880000000001</v>
      </c>
      <c r="K28" s="268">
        <f t="shared" si="0"/>
        <v>18446.000000000004</v>
      </c>
      <c r="M28" s="1">
        <f>SUM(K27:K31)</f>
        <v>31683.466000000004</v>
      </c>
    </row>
    <row r="29" spans="1:13" ht="25.5" x14ac:dyDescent="0.2">
      <c r="A29" s="214" t="s">
        <v>188</v>
      </c>
      <c r="B29" s="215" t="s">
        <v>40</v>
      </c>
      <c r="C29" s="216" t="s">
        <v>24</v>
      </c>
      <c r="D29" s="216" t="s">
        <v>41</v>
      </c>
      <c r="E29" s="217" t="s">
        <v>42</v>
      </c>
      <c r="F29" s="215">
        <v>3.15</v>
      </c>
      <c r="G29" s="218">
        <v>20</v>
      </c>
      <c r="H29" s="218">
        <f>G29*(1+28%)</f>
        <v>25.6</v>
      </c>
      <c r="I29" s="218">
        <f>TRUNC(H29*F29,2)</f>
        <v>80.64</v>
      </c>
      <c r="K29" s="268">
        <f t="shared" si="0"/>
        <v>63</v>
      </c>
    </row>
    <row r="30" spans="1:13" x14ac:dyDescent="0.2">
      <c r="A30" s="213" t="s">
        <v>360</v>
      </c>
      <c r="B30" s="24" t="s">
        <v>400</v>
      </c>
      <c r="C30" s="137" t="s">
        <v>18</v>
      </c>
      <c r="D30" s="137" t="s">
        <v>43</v>
      </c>
      <c r="E30" s="25" t="s">
        <v>44</v>
      </c>
      <c r="F30" s="24">
        <v>13</v>
      </c>
      <c r="G30" s="27">
        <f>Composições!H73</f>
        <v>178.44</v>
      </c>
      <c r="H30" s="206">
        <f t="shared" si="2"/>
        <v>228.4032</v>
      </c>
      <c r="I30" s="207">
        <f>TRUNC(H30*F30,2)</f>
        <v>2969.24</v>
      </c>
      <c r="K30" s="268">
        <f t="shared" si="0"/>
        <v>2319.7199999999998</v>
      </c>
    </row>
    <row r="31" spans="1:13" ht="26.25" thickBot="1" x14ac:dyDescent="0.25">
      <c r="A31" s="208" t="s">
        <v>361</v>
      </c>
      <c r="B31" s="209" t="s">
        <v>432</v>
      </c>
      <c r="C31" s="210" t="s">
        <v>18</v>
      </c>
      <c r="D31" s="210" t="s">
        <v>45</v>
      </c>
      <c r="E31" s="211" t="s">
        <v>44</v>
      </c>
      <c r="F31" s="209">
        <v>4</v>
      </c>
      <c r="G31" s="212">
        <f>Composições!H82</f>
        <v>344.96</v>
      </c>
      <c r="H31" s="206">
        <f t="shared" si="2"/>
        <v>441.54879999999997</v>
      </c>
      <c r="I31" s="207">
        <f>TRUNC(H31*F31,2)</f>
        <v>1766.19</v>
      </c>
      <c r="K31" s="268">
        <f t="shared" si="0"/>
        <v>1379.84</v>
      </c>
    </row>
    <row r="32" spans="1:13" s="270" customFormat="1" ht="15" thickBot="1" x14ac:dyDescent="0.25">
      <c r="A32" s="193" t="s">
        <v>482</v>
      </c>
      <c r="B32" s="194"/>
      <c r="C32" s="194"/>
      <c r="D32" s="194" t="s">
        <v>484</v>
      </c>
      <c r="E32" s="194"/>
      <c r="F32" s="195"/>
      <c r="G32" s="194"/>
      <c r="H32" s="194"/>
      <c r="I32" s="196">
        <f>SUM(I33:I34)</f>
        <v>278</v>
      </c>
      <c r="K32" s="271">
        <f t="shared" si="0"/>
        <v>0</v>
      </c>
    </row>
    <row r="33" spans="1:13" s="270" customFormat="1" ht="25.5" x14ac:dyDescent="0.2">
      <c r="A33" s="208" t="s">
        <v>483</v>
      </c>
      <c r="B33" s="209">
        <v>93358</v>
      </c>
      <c r="C33" s="210" t="s">
        <v>24</v>
      </c>
      <c r="D33" s="210" t="s">
        <v>487</v>
      </c>
      <c r="E33" s="211" t="s">
        <v>216</v>
      </c>
      <c r="F33" s="209">
        <v>0.26</v>
      </c>
      <c r="G33" s="212">
        <v>63.37</v>
      </c>
      <c r="H33" s="206">
        <f t="shared" ref="H33" si="5">G33*(1+28%)</f>
        <v>81.113600000000005</v>
      </c>
      <c r="I33" s="207">
        <f>TRUNC(H33*F33,2)</f>
        <v>21.08</v>
      </c>
      <c r="K33" s="271">
        <f t="shared" si="0"/>
        <v>16.476199999999999</v>
      </c>
    </row>
    <row r="34" spans="1:13" s="270" customFormat="1" ht="39" thickBot="1" x14ac:dyDescent="0.25">
      <c r="A34" s="208" t="s">
        <v>486</v>
      </c>
      <c r="B34" s="209">
        <v>96557</v>
      </c>
      <c r="C34" s="210" t="s">
        <v>24</v>
      </c>
      <c r="D34" s="210" t="s">
        <v>485</v>
      </c>
      <c r="E34" s="211" t="s">
        <v>216</v>
      </c>
      <c r="F34" s="209">
        <v>0.26</v>
      </c>
      <c r="G34" s="212">
        <v>772.01</v>
      </c>
      <c r="H34" s="206">
        <f t="shared" ref="H34" si="6">G34*(1+28%)</f>
        <v>988.17280000000005</v>
      </c>
      <c r="I34" s="207">
        <f t="shared" ref="I34" si="7">TRUNC(H34*F34,2)</f>
        <v>256.92</v>
      </c>
      <c r="K34" s="271">
        <f t="shared" si="0"/>
        <v>200.7226</v>
      </c>
    </row>
    <row r="35" spans="1:13" ht="15" thickBot="1" x14ac:dyDescent="0.25">
      <c r="A35" s="193" t="s">
        <v>362</v>
      </c>
      <c r="B35" s="194"/>
      <c r="C35" s="194"/>
      <c r="D35" s="194" t="s">
        <v>363</v>
      </c>
      <c r="E35" s="194"/>
      <c r="F35" s="195"/>
      <c r="G35" s="194"/>
      <c r="H35" s="194"/>
      <c r="I35" s="196">
        <f>SUM(I36:I38)</f>
        <v>5810.74</v>
      </c>
      <c r="K35" s="268">
        <f t="shared" si="0"/>
        <v>0</v>
      </c>
    </row>
    <row r="36" spans="1:13" ht="25.5" x14ac:dyDescent="0.2">
      <c r="A36" s="202" t="s">
        <v>46</v>
      </c>
      <c r="B36" s="203" t="s">
        <v>47</v>
      </c>
      <c r="C36" s="204" t="s">
        <v>24</v>
      </c>
      <c r="D36" s="204" t="s">
        <v>48</v>
      </c>
      <c r="E36" s="205" t="s">
        <v>26</v>
      </c>
      <c r="F36" s="203">
        <v>177.33</v>
      </c>
      <c r="G36" s="206">
        <v>2.06</v>
      </c>
      <c r="H36" s="206">
        <f t="shared" si="2"/>
        <v>2.6368</v>
      </c>
      <c r="I36" s="207">
        <f>TRUNC(H36*F36,2)</f>
        <v>467.58</v>
      </c>
      <c r="K36" s="268">
        <f t="shared" si="0"/>
        <v>365.29980000000006</v>
      </c>
    </row>
    <row r="37" spans="1:13" ht="25.5" x14ac:dyDescent="0.2">
      <c r="A37" s="213" t="s">
        <v>49</v>
      </c>
      <c r="B37" s="24" t="s">
        <v>50</v>
      </c>
      <c r="C37" s="137" t="s">
        <v>24</v>
      </c>
      <c r="D37" s="137" t="s">
        <v>51</v>
      </c>
      <c r="E37" s="25" t="s">
        <v>26</v>
      </c>
      <c r="F37" s="24">
        <v>177.33</v>
      </c>
      <c r="G37" s="27">
        <v>11.13</v>
      </c>
      <c r="H37" s="206">
        <f t="shared" si="2"/>
        <v>14.246400000000001</v>
      </c>
      <c r="I37" s="207">
        <f t="shared" ref="I37:I38" si="8">TRUNC(H37*F37,2)</f>
        <v>2526.31</v>
      </c>
      <c r="K37" s="268">
        <f t="shared" si="0"/>
        <v>1973.6829000000002</v>
      </c>
      <c r="M37" s="1">
        <f>SUM(K36:K38)</f>
        <v>4539.648000000001</v>
      </c>
    </row>
    <row r="38" spans="1:13" ht="26.25" thickBot="1" x14ac:dyDescent="0.25">
      <c r="A38" s="208" t="s">
        <v>52</v>
      </c>
      <c r="B38" s="209" t="s">
        <v>53</v>
      </c>
      <c r="C38" s="210" t="s">
        <v>24</v>
      </c>
      <c r="D38" s="210" t="s">
        <v>54</v>
      </c>
      <c r="E38" s="211" t="s">
        <v>26</v>
      </c>
      <c r="F38" s="209">
        <v>177.33</v>
      </c>
      <c r="G38" s="212">
        <v>12.41</v>
      </c>
      <c r="H38" s="206">
        <f t="shared" si="2"/>
        <v>15.8848</v>
      </c>
      <c r="I38" s="207">
        <f t="shared" si="8"/>
        <v>2816.85</v>
      </c>
      <c r="K38" s="268">
        <f t="shared" si="0"/>
        <v>2200.6653000000001</v>
      </c>
    </row>
    <row r="39" spans="1:13" ht="15" thickBot="1" x14ac:dyDescent="0.25">
      <c r="A39" s="193" t="s">
        <v>364</v>
      </c>
      <c r="B39" s="194"/>
      <c r="C39" s="194"/>
      <c r="D39" s="194" t="s">
        <v>30</v>
      </c>
      <c r="E39" s="194"/>
      <c r="F39" s="195"/>
      <c r="G39" s="194"/>
      <c r="H39" s="194"/>
      <c r="I39" s="196">
        <f>I40+I44</f>
        <v>99014.23</v>
      </c>
      <c r="K39" s="268">
        <f t="shared" si="0"/>
        <v>0</v>
      </c>
    </row>
    <row r="40" spans="1:13" s="268" customFormat="1" ht="15" thickBot="1" x14ac:dyDescent="0.25">
      <c r="A40" s="193" t="s">
        <v>472</v>
      </c>
      <c r="B40" s="194"/>
      <c r="C40" s="194"/>
      <c r="D40" s="194" t="s">
        <v>471</v>
      </c>
      <c r="E40" s="194"/>
      <c r="F40" s="195"/>
      <c r="G40" s="194"/>
      <c r="H40" s="194"/>
      <c r="I40" s="196">
        <f>SUM(I41:I43)</f>
        <v>68632.19</v>
      </c>
    </row>
    <row r="41" spans="1:13" x14ac:dyDescent="0.2">
      <c r="A41" s="189" t="s">
        <v>473</v>
      </c>
      <c r="B41" s="24" t="s">
        <v>401</v>
      </c>
      <c r="C41" s="189" t="s">
        <v>24</v>
      </c>
      <c r="D41" s="189" t="s">
        <v>402</v>
      </c>
      <c r="E41" s="25" t="s">
        <v>26</v>
      </c>
      <c r="F41" s="24">
        <v>2400</v>
      </c>
      <c r="G41" s="27">
        <v>0.09</v>
      </c>
      <c r="H41" s="206">
        <f>G41*(1+28%)</f>
        <v>0.1152</v>
      </c>
      <c r="I41" s="207">
        <f t="shared" ref="I41" si="9">TRUNC(H41*F41,2)</f>
        <v>276.48</v>
      </c>
      <c r="K41" s="268">
        <f t="shared" si="0"/>
        <v>216</v>
      </c>
    </row>
    <row r="42" spans="1:13" ht="38.25" x14ac:dyDescent="0.2">
      <c r="A42" s="216" t="s">
        <v>474</v>
      </c>
      <c r="B42" s="215" t="s">
        <v>420</v>
      </c>
      <c r="C42" s="216" t="s">
        <v>18</v>
      </c>
      <c r="D42" s="216" t="s">
        <v>55</v>
      </c>
      <c r="E42" s="217" t="s">
        <v>56</v>
      </c>
      <c r="F42" s="215">
        <v>1</v>
      </c>
      <c r="G42" s="218">
        <f>Composições!H134</f>
        <v>21818.9</v>
      </c>
      <c r="H42" s="218">
        <f t="shared" si="2"/>
        <v>27928.192000000003</v>
      </c>
      <c r="I42" s="218">
        <f>TRUNC(H42*F42,2)</f>
        <v>27928.19</v>
      </c>
      <c r="K42" s="268">
        <f t="shared" si="0"/>
        <v>21818.9</v>
      </c>
      <c r="M42" s="1">
        <f>SUM(K41:K43)</f>
        <v>53618.9</v>
      </c>
    </row>
    <row r="43" spans="1:13" ht="15" thickBot="1" x14ac:dyDescent="0.25">
      <c r="A43" s="245" t="s">
        <v>475</v>
      </c>
      <c r="B43" s="209" t="s">
        <v>57</v>
      </c>
      <c r="C43" s="210" t="s">
        <v>24</v>
      </c>
      <c r="D43" s="210" t="s">
        <v>58</v>
      </c>
      <c r="E43" s="211" t="s">
        <v>26</v>
      </c>
      <c r="F43" s="209">
        <v>2400</v>
      </c>
      <c r="G43" s="212">
        <v>13.16</v>
      </c>
      <c r="H43" s="206">
        <f t="shared" si="2"/>
        <v>16.844799999999999</v>
      </c>
      <c r="I43" s="212">
        <f>TRUNC(H43*F43,2)</f>
        <v>40427.519999999997</v>
      </c>
      <c r="K43" s="268">
        <f t="shared" si="0"/>
        <v>31584</v>
      </c>
    </row>
    <row r="44" spans="1:13" ht="15" thickBot="1" x14ac:dyDescent="0.25">
      <c r="A44" s="193" t="s">
        <v>476</v>
      </c>
      <c r="B44" s="194"/>
      <c r="C44" s="194"/>
      <c r="D44" s="194" t="s">
        <v>403</v>
      </c>
      <c r="E44" s="194"/>
      <c r="F44" s="195"/>
      <c r="G44" s="194"/>
      <c r="H44" s="194"/>
      <c r="I44" s="196">
        <f>SUM(I45:I47)</f>
        <v>30382.039999999997</v>
      </c>
      <c r="K44" s="268">
        <f t="shared" si="0"/>
        <v>0</v>
      </c>
    </row>
    <row r="45" spans="1:13" ht="38.25" x14ac:dyDescent="0.2">
      <c r="A45" s="204" t="s">
        <v>477</v>
      </c>
      <c r="B45" s="203" t="s">
        <v>404</v>
      </c>
      <c r="C45" s="204" t="s">
        <v>24</v>
      </c>
      <c r="D45" s="204" t="s">
        <v>405</v>
      </c>
      <c r="E45" s="205" t="s">
        <v>39</v>
      </c>
      <c r="F45" s="203">
        <v>369.6</v>
      </c>
      <c r="G45" s="206">
        <v>57.8</v>
      </c>
      <c r="H45" s="206">
        <f t="shared" si="2"/>
        <v>73.983999999999995</v>
      </c>
      <c r="I45" s="206">
        <f>TRUNC(H45*F45,2)</f>
        <v>27344.48</v>
      </c>
      <c r="K45" s="268">
        <f t="shared" si="0"/>
        <v>21362.880000000001</v>
      </c>
    </row>
    <row r="46" spans="1:13" ht="38.25" x14ac:dyDescent="0.2">
      <c r="A46" s="204" t="s">
        <v>478</v>
      </c>
      <c r="B46" s="24" t="s">
        <v>406</v>
      </c>
      <c r="C46" s="189" t="s">
        <v>24</v>
      </c>
      <c r="D46" s="189" t="s">
        <v>407</v>
      </c>
      <c r="E46" s="25" t="s">
        <v>39</v>
      </c>
      <c r="F46" s="24">
        <v>46</v>
      </c>
      <c r="G46" s="27">
        <v>44.21</v>
      </c>
      <c r="H46" s="206">
        <f t="shared" si="2"/>
        <v>56.588799999999999</v>
      </c>
      <c r="I46" s="206">
        <f t="shared" ref="I46:I47" si="10">TRUNC(H46*F46,2)</f>
        <v>2603.08</v>
      </c>
      <c r="K46" s="268">
        <f t="shared" si="0"/>
        <v>2033.66</v>
      </c>
      <c r="M46" s="1">
        <f>SUM(K45:K47)</f>
        <v>23735.98</v>
      </c>
    </row>
    <row r="47" spans="1:13" ht="39" thickBot="1" x14ac:dyDescent="0.25">
      <c r="A47" s="204" t="s">
        <v>479</v>
      </c>
      <c r="B47" s="24">
        <v>99250</v>
      </c>
      <c r="C47" s="189" t="s">
        <v>24</v>
      </c>
      <c r="D47" s="189" t="s">
        <v>480</v>
      </c>
      <c r="E47" s="25" t="s">
        <v>56</v>
      </c>
      <c r="F47" s="24">
        <v>2</v>
      </c>
      <c r="G47" s="27">
        <v>169.72</v>
      </c>
      <c r="H47" s="206">
        <f t="shared" si="2"/>
        <v>217.24160000000001</v>
      </c>
      <c r="I47" s="206">
        <f t="shared" si="10"/>
        <v>434.48</v>
      </c>
      <c r="K47" s="268">
        <f t="shared" si="0"/>
        <v>339.44</v>
      </c>
    </row>
    <row r="48" spans="1:13" ht="15" thickBot="1" x14ac:dyDescent="0.25">
      <c r="A48" s="193" t="s">
        <v>59</v>
      </c>
      <c r="B48" s="194"/>
      <c r="C48" s="194"/>
      <c r="D48" s="194" t="s">
        <v>60</v>
      </c>
      <c r="E48" s="194"/>
      <c r="F48" s="195"/>
      <c r="G48" s="194"/>
      <c r="H48" s="194"/>
      <c r="I48" s="196">
        <f>I49+I60+I69+I72</f>
        <v>6063.9</v>
      </c>
      <c r="K48" s="268">
        <f t="shared" si="0"/>
        <v>0</v>
      </c>
    </row>
    <row r="49" spans="1:13" ht="15" thickBot="1" x14ac:dyDescent="0.25">
      <c r="A49" s="193" t="s">
        <v>61</v>
      </c>
      <c r="B49" s="194"/>
      <c r="C49" s="194"/>
      <c r="D49" s="194" t="s">
        <v>62</v>
      </c>
      <c r="E49" s="194"/>
      <c r="F49" s="195"/>
      <c r="G49" s="194"/>
      <c r="H49" s="194"/>
      <c r="I49" s="196">
        <f>SUM(I50:I59)</f>
        <v>2016.27</v>
      </c>
      <c r="K49" s="268">
        <f t="shared" si="0"/>
        <v>0</v>
      </c>
    </row>
    <row r="50" spans="1:13" ht="51" x14ac:dyDescent="0.2">
      <c r="A50" s="202" t="s">
        <v>63</v>
      </c>
      <c r="B50" s="203" t="s">
        <v>64</v>
      </c>
      <c r="C50" s="204" t="s">
        <v>24</v>
      </c>
      <c r="D50" s="204" t="s">
        <v>65</v>
      </c>
      <c r="E50" s="205" t="s">
        <v>56</v>
      </c>
      <c r="F50" s="203">
        <v>1</v>
      </c>
      <c r="G50" s="206">
        <v>380.31</v>
      </c>
      <c r="H50" s="206">
        <f t="shared" ref="H50:H71" si="11">G50*(1+28%)</f>
        <v>486.79680000000002</v>
      </c>
      <c r="I50" s="207">
        <f>TRUNC(H50*F50,2)</f>
        <v>486.79</v>
      </c>
      <c r="K50" s="268">
        <f t="shared" si="0"/>
        <v>380.31</v>
      </c>
    </row>
    <row r="51" spans="1:13" ht="25.5" x14ac:dyDescent="0.2">
      <c r="A51" s="213" t="s">
        <v>66</v>
      </c>
      <c r="B51" s="24" t="s">
        <v>67</v>
      </c>
      <c r="C51" s="137" t="s">
        <v>24</v>
      </c>
      <c r="D51" s="137" t="s">
        <v>68</v>
      </c>
      <c r="E51" s="25" t="s">
        <v>56</v>
      </c>
      <c r="F51" s="24">
        <v>2</v>
      </c>
      <c r="G51" s="27">
        <v>65.08</v>
      </c>
      <c r="H51" s="206">
        <f t="shared" si="11"/>
        <v>83.302400000000006</v>
      </c>
      <c r="I51" s="207">
        <f t="shared" ref="I51:I53" si="12">TRUNC(H51*F51,2)</f>
        <v>166.6</v>
      </c>
      <c r="K51" s="268">
        <f t="shared" si="0"/>
        <v>130.16</v>
      </c>
      <c r="M51" s="1">
        <f>SUM(K50:K59)</f>
        <v>1575.2395999999999</v>
      </c>
    </row>
    <row r="52" spans="1:13" ht="25.5" x14ac:dyDescent="0.2">
      <c r="A52" s="213" t="s">
        <v>69</v>
      </c>
      <c r="B52" s="24" t="s">
        <v>70</v>
      </c>
      <c r="C52" s="137" t="s">
        <v>24</v>
      </c>
      <c r="D52" s="137" t="s">
        <v>71</v>
      </c>
      <c r="E52" s="25" t="s">
        <v>56</v>
      </c>
      <c r="F52" s="24">
        <v>1</v>
      </c>
      <c r="G52" s="27">
        <v>47.93</v>
      </c>
      <c r="H52" s="206">
        <f t="shared" si="11"/>
        <v>61.3504</v>
      </c>
      <c r="I52" s="207">
        <f t="shared" si="12"/>
        <v>61.35</v>
      </c>
      <c r="K52" s="268">
        <f t="shared" si="0"/>
        <v>47.93</v>
      </c>
    </row>
    <row r="53" spans="1:13" ht="25.5" x14ac:dyDescent="0.2">
      <c r="A53" s="213" t="s">
        <v>72</v>
      </c>
      <c r="B53" s="24">
        <v>99635</v>
      </c>
      <c r="C53" s="245" t="s">
        <v>24</v>
      </c>
      <c r="D53" s="245" t="s">
        <v>448</v>
      </c>
      <c r="E53" s="25" t="s">
        <v>56</v>
      </c>
      <c r="F53" s="24">
        <v>2</v>
      </c>
      <c r="G53" s="27">
        <v>189.43</v>
      </c>
      <c r="H53" s="206">
        <f t="shared" si="11"/>
        <v>242.47040000000001</v>
      </c>
      <c r="I53" s="207">
        <f t="shared" si="12"/>
        <v>484.94</v>
      </c>
      <c r="K53" s="268">
        <f t="shared" si="0"/>
        <v>378.86</v>
      </c>
    </row>
    <row r="54" spans="1:13" ht="38.25" x14ac:dyDescent="0.2">
      <c r="A54" s="214" t="s">
        <v>74</v>
      </c>
      <c r="B54" s="215" t="s">
        <v>75</v>
      </c>
      <c r="C54" s="216" t="s">
        <v>24</v>
      </c>
      <c r="D54" s="216" t="s">
        <v>76</v>
      </c>
      <c r="E54" s="217" t="s">
        <v>56</v>
      </c>
      <c r="F54" s="215">
        <v>2</v>
      </c>
      <c r="G54" s="218">
        <v>2.84</v>
      </c>
      <c r="H54" s="218">
        <f>G54*(1+28%)</f>
        <v>3.6351999999999998</v>
      </c>
      <c r="I54" s="218">
        <f>TRUNC(H54*F54,2)</f>
        <v>7.27</v>
      </c>
      <c r="K54" s="268">
        <f t="shared" si="0"/>
        <v>5.68</v>
      </c>
    </row>
    <row r="55" spans="1:13" ht="25.5" x14ac:dyDescent="0.2">
      <c r="A55" s="213" t="s">
        <v>77</v>
      </c>
      <c r="B55" s="24" t="s">
        <v>433</v>
      </c>
      <c r="C55" s="137" t="s">
        <v>18</v>
      </c>
      <c r="D55" s="137" t="s">
        <v>78</v>
      </c>
      <c r="E55" s="25" t="s">
        <v>26</v>
      </c>
      <c r="F55" s="24">
        <v>0.3</v>
      </c>
      <c r="G55" s="27">
        <f>Composições!H93</f>
        <v>736.62</v>
      </c>
      <c r="H55" s="206">
        <f>G55*(1+28%)</f>
        <v>942.87360000000001</v>
      </c>
      <c r="I55" s="207">
        <f>TRUNC(H55*F55,2)</f>
        <v>282.86</v>
      </c>
      <c r="K55" s="268">
        <f t="shared" si="0"/>
        <v>220.98599999999999</v>
      </c>
    </row>
    <row r="56" spans="1:13" ht="38.25" x14ac:dyDescent="0.2">
      <c r="A56" s="213" t="s">
        <v>79</v>
      </c>
      <c r="B56" s="24" t="s">
        <v>80</v>
      </c>
      <c r="C56" s="137" t="s">
        <v>24</v>
      </c>
      <c r="D56" s="137" t="s">
        <v>81</v>
      </c>
      <c r="E56" s="25" t="s">
        <v>26</v>
      </c>
      <c r="F56" s="24">
        <v>5.12</v>
      </c>
      <c r="G56" s="27">
        <v>51.96</v>
      </c>
      <c r="H56" s="206">
        <f t="shared" si="11"/>
        <v>66.508800000000008</v>
      </c>
      <c r="I56" s="207">
        <f t="shared" ref="I56:I59" si="13">TRUNC(H56*F56,2)</f>
        <v>340.52</v>
      </c>
      <c r="K56" s="268">
        <f t="shared" si="0"/>
        <v>266.03520000000003</v>
      </c>
    </row>
    <row r="57" spans="1:13" ht="51" x14ac:dyDescent="0.2">
      <c r="A57" s="213" t="s">
        <v>82</v>
      </c>
      <c r="B57" s="24" t="s">
        <v>83</v>
      </c>
      <c r="C57" s="137" t="s">
        <v>24</v>
      </c>
      <c r="D57" s="137" t="s">
        <v>84</v>
      </c>
      <c r="E57" s="25" t="s">
        <v>26</v>
      </c>
      <c r="F57" s="24">
        <v>1.76</v>
      </c>
      <c r="G57" s="27">
        <v>67.94</v>
      </c>
      <c r="H57" s="206">
        <f t="shared" si="11"/>
        <v>86.963200000000001</v>
      </c>
      <c r="I57" s="207">
        <f t="shared" si="13"/>
        <v>153.05000000000001</v>
      </c>
      <c r="K57" s="268">
        <f t="shared" si="0"/>
        <v>119.5744</v>
      </c>
    </row>
    <row r="58" spans="1:13" ht="14.25" customHeight="1" x14ac:dyDescent="0.2">
      <c r="A58" s="213" t="s">
        <v>85</v>
      </c>
      <c r="B58" s="24" t="s">
        <v>86</v>
      </c>
      <c r="C58" s="137" t="s">
        <v>24</v>
      </c>
      <c r="D58" s="137" t="s">
        <v>87</v>
      </c>
      <c r="E58" s="25" t="s">
        <v>26</v>
      </c>
      <c r="F58" s="24">
        <v>1.68</v>
      </c>
      <c r="G58" s="27">
        <v>7.28</v>
      </c>
      <c r="H58" s="206">
        <f t="shared" si="11"/>
        <v>9.3184000000000005</v>
      </c>
      <c r="I58" s="207">
        <f t="shared" si="13"/>
        <v>15.65</v>
      </c>
      <c r="K58" s="268">
        <f t="shared" si="0"/>
        <v>12.230399999999999</v>
      </c>
    </row>
    <row r="59" spans="1:13" ht="14.25" customHeight="1" thickBot="1" x14ac:dyDescent="0.25">
      <c r="A59" s="208" t="s">
        <v>88</v>
      </c>
      <c r="B59" s="209" t="s">
        <v>89</v>
      </c>
      <c r="C59" s="210" t="s">
        <v>24</v>
      </c>
      <c r="D59" s="210" t="s">
        <v>90</v>
      </c>
      <c r="E59" s="211" t="s">
        <v>26</v>
      </c>
      <c r="F59" s="209">
        <v>1.68</v>
      </c>
      <c r="G59" s="212">
        <v>8.02</v>
      </c>
      <c r="H59" s="206">
        <f t="shared" si="11"/>
        <v>10.265599999999999</v>
      </c>
      <c r="I59" s="207">
        <f t="shared" si="13"/>
        <v>17.239999999999998</v>
      </c>
      <c r="K59" s="268">
        <f t="shared" si="0"/>
        <v>13.473599999999999</v>
      </c>
    </row>
    <row r="60" spans="1:13" ht="15" thickBot="1" x14ac:dyDescent="0.25">
      <c r="A60" s="193" t="s">
        <v>91</v>
      </c>
      <c r="B60" s="194"/>
      <c r="C60" s="194"/>
      <c r="D60" s="194" t="s">
        <v>92</v>
      </c>
      <c r="E60" s="194"/>
      <c r="F60" s="195"/>
      <c r="G60" s="194"/>
      <c r="H60" s="194"/>
      <c r="I60" s="196">
        <f>SUM(I61:I68)</f>
        <v>1146.3799999999999</v>
      </c>
      <c r="K60" s="268">
        <f t="shared" si="0"/>
        <v>0</v>
      </c>
    </row>
    <row r="61" spans="1:13" ht="25.5" x14ac:dyDescent="0.2">
      <c r="A61" s="202" t="s">
        <v>93</v>
      </c>
      <c r="B61" s="203" t="s">
        <v>94</v>
      </c>
      <c r="C61" s="204" t="s">
        <v>24</v>
      </c>
      <c r="D61" s="204" t="s">
        <v>95</v>
      </c>
      <c r="E61" s="205" t="s">
        <v>56</v>
      </c>
      <c r="F61" s="203">
        <v>1</v>
      </c>
      <c r="G61" s="206">
        <v>530.76</v>
      </c>
      <c r="H61" s="206">
        <f t="shared" si="11"/>
        <v>679.37279999999998</v>
      </c>
      <c r="I61" s="207">
        <f>TRUNC(H61*F61,2)</f>
        <v>679.37</v>
      </c>
      <c r="K61" s="268">
        <f t="shared" si="0"/>
        <v>530.76</v>
      </c>
    </row>
    <row r="62" spans="1:13" ht="25.5" x14ac:dyDescent="0.2">
      <c r="A62" s="213" t="s">
        <v>96</v>
      </c>
      <c r="B62" s="24" t="s">
        <v>70</v>
      </c>
      <c r="C62" s="137" t="s">
        <v>24</v>
      </c>
      <c r="D62" s="137" t="s">
        <v>71</v>
      </c>
      <c r="E62" s="25" t="s">
        <v>56</v>
      </c>
      <c r="F62" s="24">
        <v>1</v>
      </c>
      <c r="G62" s="27">
        <v>47.93</v>
      </c>
      <c r="H62" s="206">
        <f t="shared" si="11"/>
        <v>61.3504</v>
      </c>
      <c r="I62" s="207">
        <f>TRUNC(H62*F62,2)</f>
        <v>61.35</v>
      </c>
      <c r="K62" s="268">
        <f t="shared" si="0"/>
        <v>47.93</v>
      </c>
    </row>
    <row r="63" spans="1:13" ht="14.25" customHeight="1" x14ac:dyDescent="0.2">
      <c r="A63" s="214" t="s">
        <v>97</v>
      </c>
      <c r="B63" s="215" t="s">
        <v>75</v>
      </c>
      <c r="C63" s="216" t="s">
        <v>24</v>
      </c>
      <c r="D63" s="216" t="s">
        <v>76</v>
      </c>
      <c r="E63" s="217" t="s">
        <v>56</v>
      </c>
      <c r="F63" s="215">
        <v>2</v>
      </c>
      <c r="G63" s="218">
        <v>2.84</v>
      </c>
      <c r="H63" s="218">
        <f t="shared" si="11"/>
        <v>3.6351999999999998</v>
      </c>
      <c r="I63" s="218">
        <f>TRUNC(H63*F63,2)</f>
        <v>7.27</v>
      </c>
      <c r="K63" s="268">
        <f t="shared" si="0"/>
        <v>5.68</v>
      </c>
      <c r="M63" s="1">
        <f>SUM(K61:K68)</f>
        <v>895.62980000000005</v>
      </c>
    </row>
    <row r="64" spans="1:13" ht="25.5" x14ac:dyDescent="0.2">
      <c r="A64" s="213" t="s">
        <v>98</v>
      </c>
      <c r="B64" s="24" t="s">
        <v>67</v>
      </c>
      <c r="C64" s="137" t="s">
        <v>24</v>
      </c>
      <c r="D64" s="137" t="s">
        <v>68</v>
      </c>
      <c r="E64" s="25" t="s">
        <v>56</v>
      </c>
      <c r="F64" s="24">
        <v>1</v>
      </c>
      <c r="G64" s="27">
        <v>65.08</v>
      </c>
      <c r="H64" s="206">
        <f t="shared" si="11"/>
        <v>83.302400000000006</v>
      </c>
      <c r="I64" s="207">
        <f>TRUNC(H64*F64,2)</f>
        <v>83.3</v>
      </c>
      <c r="K64" s="268">
        <f t="shared" si="0"/>
        <v>65.08</v>
      </c>
    </row>
    <row r="65" spans="1:13" ht="51" x14ac:dyDescent="0.2">
      <c r="A65" s="213" t="s">
        <v>99</v>
      </c>
      <c r="B65" s="24" t="s">
        <v>83</v>
      </c>
      <c r="C65" s="137" t="s">
        <v>24</v>
      </c>
      <c r="D65" s="137" t="s">
        <v>84</v>
      </c>
      <c r="E65" s="25" t="s">
        <v>26</v>
      </c>
      <c r="F65" s="24">
        <v>0.95</v>
      </c>
      <c r="G65" s="27">
        <v>67.94</v>
      </c>
      <c r="H65" s="206">
        <f t="shared" si="11"/>
        <v>86.963200000000001</v>
      </c>
      <c r="I65" s="207">
        <f t="shared" ref="I65:I68" si="14">TRUNC(H65*F65,2)</f>
        <v>82.61</v>
      </c>
      <c r="K65" s="268">
        <f t="shared" si="0"/>
        <v>64.542999999999992</v>
      </c>
    </row>
    <row r="66" spans="1:13" ht="14.25" customHeight="1" x14ac:dyDescent="0.2">
      <c r="A66" s="213" t="s">
        <v>100</v>
      </c>
      <c r="B66" s="24" t="s">
        <v>86</v>
      </c>
      <c r="C66" s="137" t="s">
        <v>24</v>
      </c>
      <c r="D66" s="137" t="s">
        <v>87</v>
      </c>
      <c r="E66" s="25" t="s">
        <v>26</v>
      </c>
      <c r="F66" s="24">
        <v>1.68</v>
      </c>
      <c r="G66" s="27">
        <v>7.28</v>
      </c>
      <c r="H66" s="206">
        <f t="shared" si="11"/>
        <v>9.3184000000000005</v>
      </c>
      <c r="I66" s="207">
        <f t="shared" si="14"/>
        <v>15.65</v>
      </c>
      <c r="K66" s="268">
        <f t="shared" si="0"/>
        <v>12.230399999999999</v>
      </c>
    </row>
    <row r="67" spans="1:13" ht="38.25" x14ac:dyDescent="0.2">
      <c r="A67" s="213" t="s">
        <v>101</v>
      </c>
      <c r="B67" s="24" t="s">
        <v>89</v>
      </c>
      <c r="C67" s="137" t="s">
        <v>24</v>
      </c>
      <c r="D67" s="137" t="s">
        <v>90</v>
      </c>
      <c r="E67" s="25" t="s">
        <v>26</v>
      </c>
      <c r="F67" s="24">
        <v>1.68</v>
      </c>
      <c r="G67" s="27">
        <v>8.02</v>
      </c>
      <c r="H67" s="206">
        <f t="shared" si="11"/>
        <v>10.265599999999999</v>
      </c>
      <c r="I67" s="207">
        <f t="shared" si="14"/>
        <v>17.239999999999998</v>
      </c>
      <c r="K67" s="268">
        <f t="shared" si="0"/>
        <v>13.473599999999999</v>
      </c>
    </row>
    <row r="68" spans="1:13" ht="26.25" thickBot="1" x14ac:dyDescent="0.25">
      <c r="A68" s="208" t="s">
        <v>102</v>
      </c>
      <c r="B68" s="209" t="s">
        <v>103</v>
      </c>
      <c r="C68" s="210" t="s">
        <v>24</v>
      </c>
      <c r="D68" s="210" t="s">
        <v>104</v>
      </c>
      <c r="E68" s="211" t="s">
        <v>26</v>
      </c>
      <c r="F68" s="209">
        <v>0.48</v>
      </c>
      <c r="G68" s="212">
        <v>324.86</v>
      </c>
      <c r="H68" s="206">
        <f t="shared" si="11"/>
        <v>415.82080000000002</v>
      </c>
      <c r="I68" s="207">
        <f t="shared" si="14"/>
        <v>199.59</v>
      </c>
      <c r="K68" s="268">
        <f t="shared" si="0"/>
        <v>155.93280000000001</v>
      </c>
    </row>
    <row r="69" spans="1:13" ht="15" thickBot="1" x14ac:dyDescent="0.25">
      <c r="A69" s="193" t="s">
        <v>105</v>
      </c>
      <c r="B69" s="194"/>
      <c r="C69" s="194"/>
      <c r="D69" s="194" t="s">
        <v>106</v>
      </c>
      <c r="E69" s="194"/>
      <c r="F69" s="195"/>
      <c r="G69" s="194"/>
      <c r="H69" s="194"/>
      <c r="I69" s="196">
        <f>SUM(I70:I71)</f>
        <v>37.01</v>
      </c>
      <c r="K69" s="268">
        <f t="shared" si="0"/>
        <v>0</v>
      </c>
    </row>
    <row r="70" spans="1:13" ht="13.5" customHeight="1" x14ac:dyDescent="0.2">
      <c r="A70" s="202" t="s">
        <v>107</v>
      </c>
      <c r="B70" s="203" t="s">
        <v>86</v>
      </c>
      <c r="C70" s="204" t="s">
        <v>24</v>
      </c>
      <c r="D70" s="204" t="s">
        <v>87</v>
      </c>
      <c r="E70" s="205" t="s">
        <v>26</v>
      </c>
      <c r="F70" s="203">
        <v>1.89</v>
      </c>
      <c r="G70" s="206">
        <v>7.28</v>
      </c>
      <c r="H70" s="206">
        <f t="shared" si="11"/>
        <v>9.3184000000000005</v>
      </c>
      <c r="I70" s="207">
        <f>TRUNC(H70*F70,2)</f>
        <v>17.61</v>
      </c>
      <c r="K70" s="268">
        <f t="shared" si="0"/>
        <v>13.7592</v>
      </c>
      <c r="M70" s="1">
        <f>SUM(K70:K71)</f>
        <v>28.916999999999998</v>
      </c>
    </row>
    <row r="71" spans="1:13" ht="39" thickBot="1" x14ac:dyDescent="0.25">
      <c r="A71" s="208" t="s">
        <v>108</v>
      </c>
      <c r="B71" s="209" t="s">
        <v>89</v>
      </c>
      <c r="C71" s="210" t="s">
        <v>24</v>
      </c>
      <c r="D71" s="210" t="s">
        <v>90</v>
      </c>
      <c r="E71" s="211" t="s">
        <v>26</v>
      </c>
      <c r="F71" s="209">
        <v>1.89</v>
      </c>
      <c r="G71" s="212">
        <v>8.02</v>
      </c>
      <c r="H71" s="206">
        <f t="shared" si="11"/>
        <v>10.265599999999999</v>
      </c>
      <c r="I71" s="207">
        <f>TRUNC(H71*F71,2)</f>
        <v>19.399999999999999</v>
      </c>
      <c r="K71" s="268">
        <f t="shared" si="0"/>
        <v>15.157799999999998</v>
      </c>
    </row>
    <row r="72" spans="1:13" ht="15" thickBot="1" x14ac:dyDescent="0.25">
      <c r="A72" s="193" t="s">
        <v>365</v>
      </c>
      <c r="B72" s="194"/>
      <c r="C72" s="194"/>
      <c r="D72" s="194" t="s">
        <v>198</v>
      </c>
      <c r="E72" s="194"/>
      <c r="F72" s="195"/>
      <c r="G72" s="194"/>
      <c r="H72" s="194"/>
      <c r="I72" s="196">
        <f>I73+I77+I82</f>
        <v>2864.24</v>
      </c>
      <c r="K72" s="268">
        <f t="shared" si="0"/>
        <v>0</v>
      </c>
    </row>
    <row r="73" spans="1:13" ht="15" thickBot="1" x14ac:dyDescent="0.25">
      <c r="A73" s="193" t="s">
        <v>366</v>
      </c>
      <c r="B73" s="194"/>
      <c r="C73" s="194"/>
      <c r="D73" s="194" t="s">
        <v>109</v>
      </c>
      <c r="E73" s="194"/>
      <c r="F73" s="195"/>
      <c r="G73" s="194"/>
      <c r="H73" s="194"/>
      <c r="I73" s="196">
        <f>SUM(I74:I76)</f>
        <v>586.26</v>
      </c>
      <c r="K73" s="268">
        <f t="shared" si="0"/>
        <v>0</v>
      </c>
    </row>
    <row r="74" spans="1:13" ht="25.5" x14ac:dyDescent="0.2">
      <c r="A74" s="202" t="s">
        <v>269</v>
      </c>
      <c r="B74" s="203" t="s">
        <v>450</v>
      </c>
      <c r="C74" s="204" t="s">
        <v>18</v>
      </c>
      <c r="D74" s="204" t="s">
        <v>451</v>
      </c>
      <c r="E74" s="205" t="s">
        <v>110</v>
      </c>
      <c r="F74" s="203">
        <v>4</v>
      </c>
      <c r="G74" s="206">
        <f>Composições!H101</f>
        <v>14.04</v>
      </c>
      <c r="H74" s="206">
        <f t="shared" ref="H74:H85" si="15">G74*(1+28%)</f>
        <v>17.9712</v>
      </c>
      <c r="I74" s="207">
        <f>TRUNC(H74*F74,2)</f>
        <v>71.88</v>
      </c>
      <c r="K74" s="268">
        <f t="shared" si="0"/>
        <v>56.16</v>
      </c>
    </row>
    <row r="75" spans="1:13" ht="25.5" x14ac:dyDescent="0.2">
      <c r="A75" s="213" t="s">
        <v>271</v>
      </c>
      <c r="B75" s="24" t="s">
        <v>111</v>
      </c>
      <c r="C75" s="137" t="s">
        <v>24</v>
      </c>
      <c r="D75" s="137" t="s">
        <v>112</v>
      </c>
      <c r="E75" s="25" t="s">
        <v>26</v>
      </c>
      <c r="F75" s="24">
        <v>28.38</v>
      </c>
      <c r="G75" s="27">
        <v>1.75</v>
      </c>
      <c r="H75" s="206">
        <f t="shared" si="15"/>
        <v>2.2400000000000002</v>
      </c>
      <c r="I75" s="207">
        <f t="shared" ref="I75:I76" si="16">TRUNC(H75*F75,2)</f>
        <v>63.57</v>
      </c>
      <c r="K75" s="268">
        <f t="shared" si="0"/>
        <v>49.664999999999999</v>
      </c>
      <c r="M75" s="1">
        <f>SUM(K74:K76)</f>
        <v>458.02080000000001</v>
      </c>
    </row>
    <row r="76" spans="1:13" ht="26.25" thickBot="1" x14ac:dyDescent="0.25">
      <c r="A76" s="208" t="s">
        <v>367</v>
      </c>
      <c r="B76" s="209" t="s">
        <v>53</v>
      </c>
      <c r="C76" s="210" t="s">
        <v>24</v>
      </c>
      <c r="D76" s="210" t="s">
        <v>54</v>
      </c>
      <c r="E76" s="211" t="s">
        <v>26</v>
      </c>
      <c r="F76" s="209">
        <v>28.38</v>
      </c>
      <c r="G76" s="212">
        <v>12.41</v>
      </c>
      <c r="H76" s="206">
        <f t="shared" si="15"/>
        <v>15.8848</v>
      </c>
      <c r="I76" s="207">
        <f t="shared" si="16"/>
        <v>450.81</v>
      </c>
      <c r="K76" s="268">
        <f t="shared" si="0"/>
        <v>352.19580000000002</v>
      </c>
    </row>
    <row r="77" spans="1:13" ht="14.25" customHeight="1" thickBot="1" x14ac:dyDescent="0.25">
      <c r="A77" s="193" t="s">
        <v>368</v>
      </c>
      <c r="B77" s="194"/>
      <c r="C77" s="194"/>
      <c r="D77" s="194" t="s">
        <v>113</v>
      </c>
      <c r="E77" s="194"/>
      <c r="F77" s="195"/>
      <c r="G77" s="194"/>
      <c r="H77" s="194"/>
      <c r="I77" s="196">
        <f>SUM(I78:I81)</f>
        <v>2127.52</v>
      </c>
      <c r="K77" s="268">
        <f t="shared" si="0"/>
        <v>0</v>
      </c>
    </row>
    <row r="78" spans="1:13" ht="25.5" x14ac:dyDescent="0.2">
      <c r="A78" s="202" t="s">
        <v>272</v>
      </c>
      <c r="B78" s="203" t="s">
        <v>439</v>
      </c>
      <c r="C78" s="204" t="s">
        <v>18</v>
      </c>
      <c r="D78" s="204" t="s">
        <v>441</v>
      </c>
      <c r="E78" s="205" t="s">
        <v>26</v>
      </c>
      <c r="F78" s="203">
        <v>52.45</v>
      </c>
      <c r="G78" s="206">
        <f>Composições!H109</f>
        <v>6.4</v>
      </c>
      <c r="H78" s="206">
        <f t="shared" si="15"/>
        <v>8.1920000000000002</v>
      </c>
      <c r="I78" s="207">
        <f>TRUNC(H78*F78,2)</f>
        <v>429.67</v>
      </c>
      <c r="K78" s="268">
        <f t="shared" si="0"/>
        <v>335.68000000000006</v>
      </c>
    </row>
    <row r="79" spans="1:13" ht="25.5" x14ac:dyDescent="0.2">
      <c r="A79" s="213" t="s">
        <v>369</v>
      </c>
      <c r="B79" s="24" t="s">
        <v>111</v>
      </c>
      <c r="C79" s="137" t="s">
        <v>24</v>
      </c>
      <c r="D79" s="137" t="s">
        <v>112</v>
      </c>
      <c r="E79" s="25" t="s">
        <v>26</v>
      </c>
      <c r="F79" s="24">
        <v>52.45</v>
      </c>
      <c r="G79" s="27">
        <v>1.75</v>
      </c>
      <c r="H79" s="206">
        <f t="shared" si="15"/>
        <v>2.2400000000000002</v>
      </c>
      <c r="I79" s="207">
        <f t="shared" ref="I79:I81" si="17">TRUNC(H79*F79,2)</f>
        <v>117.48</v>
      </c>
      <c r="K79" s="268">
        <f t="shared" ref="K79:K136" si="18">G79*F79</f>
        <v>91.787500000000009</v>
      </c>
      <c r="M79" s="1">
        <f>SUM(K78:K81)</f>
        <v>1662.1405000000004</v>
      </c>
    </row>
    <row r="80" spans="1:13" ht="25.5" x14ac:dyDescent="0.2">
      <c r="A80" s="213" t="s">
        <v>370</v>
      </c>
      <c r="B80" s="24" t="s">
        <v>53</v>
      </c>
      <c r="C80" s="137" t="s">
        <v>24</v>
      </c>
      <c r="D80" s="137" t="s">
        <v>54</v>
      </c>
      <c r="E80" s="25" t="s">
        <v>26</v>
      </c>
      <c r="F80" s="24">
        <v>52.45</v>
      </c>
      <c r="G80" s="27">
        <v>12.41</v>
      </c>
      <c r="H80" s="206">
        <f t="shared" si="15"/>
        <v>15.8848</v>
      </c>
      <c r="I80" s="207">
        <f t="shared" si="17"/>
        <v>833.15</v>
      </c>
      <c r="K80" s="268">
        <f t="shared" si="18"/>
        <v>650.9045000000001</v>
      </c>
    </row>
    <row r="81" spans="1:13" ht="26.25" thickBot="1" x14ac:dyDescent="0.25">
      <c r="A81" s="208" t="s">
        <v>371</v>
      </c>
      <c r="B81" s="209" t="s">
        <v>50</v>
      </c>
      <c r="C81" s="210" t="s">
        <v>24</v>
      </c>
      <c r="D81" s="210" t="s">
        <v>51</v>
      </c>
      <c r="E81" s="211" t="s">
        <v>26</v>
      </c>
      <c r="F81" s="209">
        <v>52.45</v>
      </c>
      <c r="G81" s="212">
        <v>11.13</v>
      </c>
      <c r="H81" s="206">
        <f t="shared" si="15"/>
        <v>14.246400000000001</v>
      </c>
      <c r="I81" s="207">
        <f t="shared" si="17"/>
        <v>747.22</v>
      </c>
      <c r="K81" s="268">
        <f t="shared" si="18"/>
        <v>583.76850000000002</v>
      </c>
    </row>
    <row r="82" spans="1:13" ht="15" thickBot="1" x14ac:dyDescent="0.25">
      <c r="A82" s="193" t="s">
        <v>372</v>
      </c>
      <c r="B82" s="194"/>
      <c r="C82" s="194"/>
      <c r="D82" s="194" t="s">
        <v>201</v>
      </c>
      <c r="E82" s="194"/>
      <c r="F82" s="195"/>
      <c r="G82" s="194"/>
      <c r="H82" s="194"/>
      <c r="I82" s="196">
        <f>SUM(I83:I85)</f>
        <v>150.46</v>
      </c>
      <c r="K82" s="268">
        <f t="shared" si="18"/>
        <v>0</v>
      </c>
    </row>
    <row r="83" spans="1:13" ht="25.5" x14ac:dyDescent="0.2">
      <c r="A83" s="202" t="s">
        <v>373</v>
      </c>
      <c r="B83" s="203" t="s">
        <v>439</v>
      </c>
      <c r="C83" s="204" t="s">
        <v>18</v>
      </c>
      <c r="D83" s="204" t="s">
        <v>441</v>
      </c>
      <c r="E83" s="205" t="s">
        <v>26</v>
      </c>
      <c r="F83" s="203">
        <v>7.18</v>
      </c>
      <c r="G83" s="206">
        <f>Composições!H109</f>
        <v>6.4</v>
      </c>
      <c r="H83" s="206">
        <f t="shared" si="15"/>
        <v>8.1920000000000002</v>
      </c>
      <c r="I83" s="207">
        <f>TRUNC(H83*F83,2)</f>
        <v>58.81</v>
      </c>
      <c r="K83" s="268">
        <f t="shared" si="18"/>
        <v>45.951999999999998</v>
      </c>
    </row>
    <row r="84" spans="1:13" ht="13.5" customHeight="1" x14ac:dyDescent="0.2">
      <c r="A84" s="213" t="s">
        <v>374</v>
      </c>
      <c r="B84" s="24" t="s">
        <v>86</v>
      </c>
      <c r="C84" s="137" t="s">
        <v>24</v>
      </c>
      <c r="D84" s="137" t="s">
        <v>87</v>
      </c>
      <c r="E84" s="25" t="s">
        <v>26</v>
      </c>
      <c r="F84" s="24">
        <v>4.68</v>
      </c>
      <c r="G84" s="27">
        <v>7.28</v>
      </c>
      <c r="H84" s="206">
        <f t="shared" si="15"/>
        <v>9.3184000000000005</v>
      </c>
      <c r="I84" s="207">
        <f t="shared" ref="I84:I85" si="19">TRUNC(H84*F84,2)</f>
        <v>43.61</v>
      </c>
      <c r="K84" s="268">
        <f t="shared" si="18"/>
        <v>34.070399999999999</v>
      </c>
    </row>
    <row r="85" spans="1:13" ht="39" thickBot="1" x14ac:dyDescent="0.25">
      <c r="A85" s="208" t="s">
        <v>375</v>
      </c>
      <c r="B85" s="209" t="s">
        <v>89</v>
      </c>
      <c r="C85" s="210" t="s">
        <v>24</v>
      </c>
      <c r="D85" s="210" t="s">
        <v>90</v>
      </c>
      <c r="E85" s="211" t="s">
        <v>26</v>
      </c>
      <c r="F85" s="209">
        <v>4.68</v>
      </c>
      <c r="G85" s="212">
        <v>8.02</v>
      </c>
      <c r="H85" s="206">
        <f t="shared" si="15"/>
        <v>10.265599999999999</v>
      </c>
      <c r="I85" s="207">
        <f t="shared" si="19"/>
        <v>48.04</v>
      </c>
      <c r="K85" s="268">
        <f t="shared" si="18"/>
        <v>37.533599999999993</v>
      </c>
      <c r="M85" s="1">
        <f>SUM(K83:K85)</f>
        <v>117.556</v>
      </c>
    </row>
    <row r="86" spans="1:13" ht="15" thickBot="1" x14ac:dyDescent="0.25">
      <c r="A86" s="193" t="s">
        <v>114</v>
      </c>
      <c r="B86" s="194"/>
      <c r="C86" s="194"/>
      <c r="D86" s="194" t="s">
        <v>288</v>
      </c>
      <c r="E86" s="194"/>
      <c r="F86" s="195"/>
      <c r="G86" s="194"/>
      <c r="H86" s="194"/>
      <c r="I86" s="196">
        <f>I87+I92+I100+I107+I110+I123</f>
        <v>15263.73</v>
      </c>
      <c r="K86" s="268">
        <f t="shared" si="18"/>
        <v>0</v>
      </c>
    </row>
    <row r="87" spans="1:13" ht="15" thickBot="1" x14ac:dyDescent="0.25">
      <c r="A87" s="193" t="s">
        <v>115</v>
      </c>
      <c r="B87" s="194"/>
      <c r="C87" s="194"/>
      <c r="D87" s="194" t="s">
        <v>116</v>
      </c>
      <c r="E87" s="194"/>
      <c r="F87" s="195"/>
      <c r="G87" s="194"/>
      <c r="H87" s="194"/>
      <c r="I87" s="196">
        <f>SUM(I88:I91)</f>
        <v>714.56999999999994</v>
      </c>
      <c r="K87" s="268">
        <f t="shared" si="18"/>
        <v>0</v>
      </c>
    </row>
    <row r="88" spans="1:13" ht="25.5" x14ac:dyDescent="0.2">
      <c r="A88" s="202" t="s">
        <v>117</v>
      </c>
      <c r="B88" s="203" t="s">
        <v>118</v>
      </c>
      <c r="C88" s="204" t="s">
        <v>24</v>
      </c>
      <c r="D88" s="204" t="s">
        <v>119</v>
      </c>
      <c r="E88" s="205" t="s">
        <v>56</v>
      </c>
      <c r="F88" s="203">
        <v>1</v>
      </c>
      <c r="G88" s="206">
        <v>37.65</v>
      </c>
      <c r="H88" s="206">
        <f t="shared" ref="H88:H109" si="20">G88*(1+28%)</f>
        <v>48.192</v>
      </c>
      <c r="I88" s="207">
        <f t="shared" ref="I88:I109" si="21">TRUNC(H88*F88,2)</f>
        <v>48.19</v>
      </c>
      <c r="K88" s="268">
        <f t="shared" si="18"/>
        <v>37.65</v>
      </c>
    </row>
    <row r="89" spans="1:13" ht="25.5" x14ac:dyDescent="0.2">
      <c r="A89" s="213" t="s">
        <v>120</v>
      </c>
      <c r="B89" s="24" t="s">
        <v>453</v>
      </c>
      <c r="C89" s="137" t="s">
        <v>18</v>
      </c>
      <c r="D89" s="137" t="s">
        <v>456</v>
      </c>
      <c r="E89" s="25" t="s">
        <v>56</v>
      </c>
      <c r="F89" s="24">
        <v>1</v>
      </c>
      <c r="G89" s="27">
        <f>Composições!H115</f>
        <v>85.521000000000001</v>
      </c>
      <c r="H89" s="206">
        <f t="shared" si="20"/>
        <v>109.46688</v>
      </c>
      <c r="I89" s="207">
        <f t="shared" si="21"/>
        <v>109.46</v>
      </c>
      <c r="K89" s="268">
        <f t="shared" si="18"/>
        <v>85.521000000000001</v>
      </c>
    </row>
    <row r="90" spans="1:13" ht="24" customHeight="1" x14ac:dyDescent="0.2">
      <c r="A90" s="213" t="s">
        <v>121</v>
      </c>
      <c r="B90" s="24" t="s">
        <v>443</v>
      </c>
      <c r="C90" s="137" t="s">
        <v>18</v>
      </c>
      <c r="D90" s="137" t="s">
        <v>444</v>
      </c>
      <c r="E90" s="25" t="s">
        <v>26</v>
      </c>
      <c r="F90" s="24">
        <v>22.12</v>
      </c>
      <c r="G90" s="27">
        <f>Composições!H122</f>
        <v>7.26</v>
      </c>
      <c r="H90" s="206">
        <f t="shared" si="20"/>
        <v>9.2927999999999997</v>
      </c>
      <c r="I90" s="207">
        <f t="shared" si="21"/>
        <v>205.55</v>
      </c>
      <c r="K90" s="268">
        <f t="shared" si="18"/>
        <v>160.59120000000001</v>
      </c>
      <c r="M90" s="1">
        <f>SUM(K88:K91)</f>
        <v>558.27140000000009</v>
      </c>
    </row>
    <row r="91" spans="1:13" ht="26.25" thickBot="1" x14ac:dyDescent="0.25">
      <c r="A91" s="208" t="s">
        <v>122</v>
      </c>
      <c r="B91" s="209" t="s">
        <v>53</v>
      </c>
      <c r="C91" s="210" t="s">
        <v>24</v>
      </c>
      <c r="D91" s="210" t="s">
        <v>54</v>
      </c>
      <c r="E91" s="211" t="s">
        <v>26</v>
      </c>
      <c r="F91" s="209">
        <v>22.12</v>
      </c>
      <c r="G91" s="212">
        <v>12.41</v>
      </c>
      <c r="H91" s="206">
        <f t="shared" si="20"/>
        <v>15.8848</v>
      </c>
      <c r="I91" s="207">
        <f t="shared" si="21"/>
        <v>351.37</v>
      </c>
      <c r="K91" s="268">
        <f t="shared" si="18"/>
        <v>274.50920000000002</v>
      </c>
    </row>
    <row r="92" spans="1:13" ht="15" thickBot="1" x14ac:dyDescent="0.25">
      <c r="A92" s="193" t="s">
        <v>123</v>
      </c>
      <c r="B92" s="194"/>
      <c r="C92" s="194"/>
      <c r="D92" s="194" t="s">
        <v>468</v>
      </c>
      <c r="E92" s="194"/>
      <c r="F92" s="195"/>
      <c r="G92" s="194"/>
      <c r="H92" s="194"/>
      <c r="I92" s="196">
        <f>SUM(I93:I99)</f>
        <v>851.68999999999994</v>
      </c>
      <c r="K92" s="268">
        <f t="shared" si="18"/>
        <v>0</v>
      </c>
    </row>
    <row r="93" spans="1:13" ht="25.5" x14ac:dyDescent="0.2">
      <c r="A93" s="202" t="s">
        <v>124</v>
      </c>
      <c r="B93" s="203" t="s">
        <v>125</v>
      </c>
      <c r="C93" s="204" t="s">
        <v>24</v>
      </c>
      <c r="D93" s="204" t="s">
        <v>126</v>
      </c>
      <c r="E93" s="205" t="s">
        <v>56</v>
      </c>
      <c r="F93" s="203">
        <v>1</v>
      </c>
      <c r="G93" s="206">
        <v>84.63</v>
      </c>
      <c r="H93" s="206">
        <f t="shared" si="20"/>
        <v>108.32639999999999</v>
      </c>
      <c r="I93" s="207">
        <f t="shared" si="21"/>
        <v>108.32</v>
      </c>
      <c r="K93" s="268">
        <f t="shared" si="18"/>
        <v>84.63</v>
      </c>
    </row>
    <row r="94" spans="1:13" ht="25.5" x14ac:dyDescent="0.2">
      <c r="A94" s="213" t="s">
        <v>127</v>
      </c>
      <c r="B94" s="24" t="s">
        <v>67</v>
      </c>
      <c r="C94" s="137" t="s">
        <v>24</v>
      </c>
      <c r="D94" s="137" t="s">
        <v>68</v>
      </c>
      <c r="E94" s="25" t="s">
        <v>56</v>
      </c>
      <c r="F94" s="24">
        <v>2</v>
      </c>
      <c r="G94" s="27">
        <v>65.08</v>
      </c>
      <c r="H94" s="206">
        <f t="shared" si="20"/>
        <v>83.302400000000006</v>
      </c>
      <c r="I94" s="207">
        <f t="shared" si="21"/>
        <v>166.6</v>
      </c>
      <c r="K94" s="268">
        <f t="shared" si="18"/>
        <v>130.16</v>
      </c>
    </row>
    <row r="95" spans="1:13" ht="25.5" x14ac:dyDescent="0.2">
      <c r="A95" s="213" t="s">
        <v>128</v>
      </c>
      <c r="B95" s="24" t="s">
        <v>433</v>
      </c>
      <c r="C95" s="245" t="s">
        <v>18</v>
      </c>
      <c r="D95" s="137" t="s">
        <v>78</v>
      </c>
      <c r="E95" s="25" t="s">
        <v>26</v>
      </c>
      <c r="F95" s="24">
        <v>0.3</v>
      </c>
      <c r="G95" s="27">
        <f>Composições!H93</f>
        <v>736.62</v>
      </c>
      <c r="H95" s="206">
        <f t="shared" si="20"/>
        <v>942.87360000000001</v>
      </c>
      <c r="I95" s="207">
        <f t="shared" si="21"/>
        <v>282.86</v>
      </c>
      <c r="K95" s="268">
        <f t="shared" si="18"/>
        <v>220.98599999999999</v>
      </c>
      <c r="M95" s="1">
        <f>SUM(K93:K99)</f>
        <v>665.40599999999995</v>
      </c>
    </row>
    <row r="96" spans="1:13" ht="51" x14ac:dyDescent="0.2">
      <c r="A96" s="213" t="s">
        <v>129</v>
      </c>
      <c r="B96" s="24" t="s">
        <v>83</v>
      </c>
      <c r="C96" s="137" t="s">
        <v>24</v>
      </c>
      <c r="D96" s="137" t="s">
        <v>84</v>
      </c>
      <c r="E96" s="25" t="s">
        <v>26</v>
      </c>
      <c r="F96" s="24">
        <v>2</v>
      </c>
      <c r="G96" s="27">
        <v>67.94</v>
      </c>
      <c r="H96" s="206">
        <f t="shared" si="20"/>
        <v>86.963200000000001</v>
      </c>
      <c r="I96" s="207">
        <f t="shared" si="21"/>
        <v>173.92</v>
      </c>
      <c r="K96" s="268">
        <f t="shared" si="18"/>
        <v>135.88</v>
      </c>
    </row>
    <row r="97" spans="1:13" ht="25.5" x14ac:dyDescent="0.2">
      <c r="A97" s="213" t="s">
        <v>130</v>
      </c>
      <c r="B97" s="24" t="s">
        <v>70</v>
      </c>
      <c r="C97" s="137" t="s">
        <v>24</v>
      </c>
      <c r="D97" s="137" t="s">
        <v>71</v>
      </c>
      <c r="E97" s="25" t="s">
        <v>56</v>
      </c>
      <c r="F97" s="24">
        <v>1</v>
      </c>
      <c r="G97" s="27">
        <v>47.93</v>
      </c>
      <c r="H97" s="206">
        <f t="shared" si="20"/>
        <v>61.3504</v>
      </c>
      <c r="I97" s="207">
        <f t="shared" si="21"/>
        <v>61.35</v>
      </c>
      <c r="K97" s="268">
        <f t="shared" si="18"/>
        <v>47.93</v>
      </c>
    </row>
    <row r="98" spans="1:13" ht="38.25" x14ac:dyDescent="0.2">
      <c r="A98" s="214" t="s">
        <v>131</v>
      </c>
      <c r="B98" s="215" t="s">
        <v>75</v>
      </c>
      <c r="C98" s="216" t="s">
        <v>24</v>
      </c>
      <c r="D98" s="216" t="s">
        <v>76</v>
      </c>
      <c r="E98" s="217" t="s">
        <v>56</v>
      </c>
      <c r="F98" s="215">
        <v>1</v>
      </c>
      <c r="G98" s="218">
        <v>2.84</v>
      </c>
      <c r="H98" s="218">
        <f t="shared" si="20"/>
        <v>3.6351999999999998</v>
      </c>
      <c r="I98" s="218">
        <v>3.63</v>
      </c>
      <c r="K98" s="268">
        <f t="shared" si="18"/>
        <v>2.84</v>
      </c>
    </row>
    <row r="99" spans="1:13" ht="39" thickBot="1" x14ac:dyDescent="0.25">
      <c r="A99" s="208" t="s">
        <v>132</v>
      </c>
      <c r="B99" s="209" t="s">
        <v>133</v>
      </c>
      <c r="C99" s="210" t="s">
        <v>24</v>
      </c>
      <c r="D99" s="210" t="s">
        <v>134</v>
      </c>
      <c r="E99" s="211" t="s">
        <v>56</v>
      </c>
      <c r="F99" s="209">
        <v>1</v>
      </c>
      <c r="G99" s="212">
        <v>42.98</v>
      </c>
      <c r="H99" s="206">
        <f t="shared" si="20"/>
        <v>55.014399999999995</v>
      </c>
      <c r="I99" s="207">
        <f t="shared" si="21"/>
        <v>55.01</v>
      </c>
      <c r="K99" s="268">
        <f t="shared" si="18"/>
        <v>42.98</v>
      </c>
    </row>
    <row r="100" spans="1:13" ht="15" thickBot="1" x14ac:dyDescent="0.25">
      <c r="A100" s="193" t="s">
        <v>135</v>
      </c>
      <c r="B100" s="194"/>
      <c r="C100" s="194"/>
      <c r="D100" s="194" t="s">
        <v>469</v>
      </c>
      <c r="E100" s="194"/>
      <c r="F100" s="195"/>
      <c r="G100" s="194"/>
      <c r="H100" s="194"/>
      <c r="I100" s="196">
        <f>SUM(I101:I106)</f>
        <v>611.48</v>
      </c>
      <c r="K100" s="268">
        <f t="shared" si="18"/>
        <v>0</v>
      </c>
    </row>
    <row r="101" spans="1:13" ht="25.5" x14ac:dyDescent="0.2">
      <c r="A101" s="202" t="s">
        <v>136</v>
      </c>
      <c r="B101" s="203" t="s">
        <v>137</v>
      </c>
      <c r="C101" s="204" t="s">
        <v>24</v>
      </c>
      <c r="D101" s="204" t="s">
        <v>138</v>
      </c>
      <c r="E101" s="205" t="s">
        <v>56</v>
      </c>
      <c r="F101" s="203">
        <v>1</v>
      </c>
      <c r="G101" s="206">
        <v>32.840000000000003</v>
      </c>
      <c r="H101" s="206">
        <f t="shared" si="20"/>
        <v>42.035200000000003</v>
      </c>
      <c r="I101" s="207">
        <f t="shared" si="21"/>
        <v>42.03</v>
      </c>
      <c r="K101" s="268">
        <f t="shared" si="18"/>
        <v>32.840000000000003</v>
      </c>
    </row>
    <row r="102" spans="1:13" ht="25.5" x14ac:dyDescent="0.2">
      <c r="A102" s="213" t="s">
        <v>139</v>
      </c>
      <c r="B102" s="24" t="s">
        <v>67</v>
      </c>
      <c r="C102" s="137" t="s">
        <v>24</v>
      </c>
      <c r="D102" s="137" t="s">
        <v>68</v>
      </c>
      <c r="E102" s="25" t="s">
        <v>56</v>
      </c>
      <c r="F102" s="24">
        <v>2</v>
      </c>
      <c r="G102" s="27">
        <v>65.08</v>
      </c>
      <c r="H102" s="206">
        <f t="shared" si="20"/>
        <v>83.302400000000006</v>
      </c>
      <c r="I102" s="207">
        <f t="shared" si="21"/>
        <v>166.6</v>
      </c>
      <c r="K102" s="268">
        <f t="shared" si="18"/>
        <v>130.16</v>
      </c>
      <c r="M102" s="1">
        <f>SUM(K101:K106)</f>
        <v>477.73599999999999</v>
      </c>
    </row>
    <row r="103" spans="1:13" ht="25.5" x14ac:dyDescent="0.2">
      <c r="A103" s="213" t="s">
        <v>140</v>
      </c>
      <c r="B103" s="24" t="s">
        <v>70</v>
      </c>
      <c r="C103" s="137" t="s">
        <v>24</v>
      </c>
      <c r="D103" s="137" t="s">
        <v>71</v>
      </c>
      <c r="E103" s="25" t="s">
        <v>56</v>
      </c>
      <c r="F103" s="24">
        <v>1</v>
      </c>
      <c r="G103" s="27">
        <v>47.93</v>
      </c>
      <c r="H103" s="206">
        <f t="shared" si="20"/>
        <v>61.3504</v>
      </c>
      <c r="I103" s="207">
        <f t="shared" si="21"/>
        <v>61.35</v>
      </c>
      <c r="K103" s="268">
        <f t="shared" si="18"/>
        <v>47.93</v>
      </c>
    </row>
    <row r="104" spans="1:13" ht="25.5" x14ac:dyDescent="0.2">
      <c r="A104" s="213" t="s">
        <v>141</v>
      </c>
      <c r="B104" s="24" t="s">
        <v>433</v>
      </c>
      <c r="C104" s="245" t="s">
        <v>18</v>
      </c>
      <c r="D104" s="137" t="s">
        <v>78</v>
      </c>
      <c r="E104" s="25" t="s">
        <v>26</v>
      </c>
      <c r="F104" s="24">
        <v>0.3</v>
      </c>
      <c r="G104" s="27">
        <f>Composições!H93</f>
        <v>736.62</v>
      </c>
      <c r="H104" s="206">
        <f t="shared" si="20"/>
        <v>942.87360000000001</v>
      </c>
      <c r="I104" s="207">
        <f t="shared" si="21"/>
        <v>282.86</v>
      </c>
      <c r="K104" s="268">
        <f t="shared" si="18"/>
        <v>220.98599999999999</v>
      </c>
    </row>
    <row r="105" spans="1:13" ht="38.25" x14ac:dyDescent="0.2">
      <c r="A105" s="214" t="s">
        <v>142</v>
      </c>
      <c r="B105" s="215" t="s">
        <v>75</v>
      </c>
      <c r="C105" s="216" t="s">
        <v>24</v>
      </c>
      <c r="D105" s="216" t="s">
        <v>76</v>
      </c>
      <c r="E105" s="217" t="s">
        <v>56</v>
      </c>
      <c r="F105" s="215">
        <v>1</v>
      </c>
      <c r="G105" s="218">
        <v>2.84</v>
      </c>
      <c r="H105" s="218">
        <f t="shared" si="20"/>
        <v>3.6351999999999998</v>
      </c>
      <c r="I105" s="218">
        <f t="shared" si="21"/>
        <v>3.63</v>
      </c>
      <c r="K105" s="268">
        <f t="shared" si="18"/>
        <v>2.84</v>
      </c>
    </row>
    <row r="106" spans="1:13" ht="39" thickBot="1" x14ac:dyDescent="0.25">
      <c r="A106" s="208" t="s">
        <v>143</v>
      </c>
      <c r="B106" s="209" t="s">
        <v>133</v>
      </c>
      <c r="C106" s="210" t="s">
        <v>24</v>
      </c>
      <c r="D106" s="210" t="s">
        <v>134</v>
      </c>
      <c r="E106" s="211" t="s">
        <v>56</v>
      </c>
      <c r="F106" s="209">
        <v>1</v>
      </c>
      <c r="G106" s="212">
        <v>42.98</v>
      </c>
      <c r="H106" s="206">
        <f t="shared" si="20"/>
        <v>55.014399999999995</v>
      </c>
      <c r="I106" s="207">
        <f t="shared" si="21"/>
        <v>55.01</v>
      </c>
      <c r="K106" s="268">
        <f t="shared" si="18"/>
        <v>42.98</v>
      </c>
    </row>
    <row r="107" spans="1:13" ht="15" thickBot="1" x14ac:dyDescent="0.25">
      <c r="A107" s="193" t="s">
        <v>144</v>
      </c>
      <c r="B107" s="194"/>
      <c r="C107" s="194"/>
      <c r="D107" s="194" t="s">
        <v>145</v>
      </c>
      <c r="E107" s="194"/>
      <c r="F107" s="195"/>
      <c r="G107" s="194"/>
      <c r="H107" s="194"/>
      <c r="I107" s="196">
        <f>SUM(I108:I109)</f>
        <v>302.31</v>
      </c>
      <c r="K107" s="268">
        <f t="shared" si="18"/>
        <v>0</v>
      </c>
    </row>
    <row r="108" spans="1:13" ht="25.5" x14ac:dyDescent="0.2">
      <c r="A108" s="202" t="s">
        <v>146</v>
      </c>
      <c r="B108" s="203" t="s">
        <v>111</v>
      </c>
      <c r="C108" s="204" t="s">
        <v>24</v>
      </c>
      <c r="D108" s="204" t="s">
        <v>112</v>
      </c>
      <c r="E108" s="205" t="s">
        <v>26</v>
      </c>
      <c r="F108" s="203">
        <v>16.68</v>
      </c>
      <c r="G108" s="206">
        <v>1.75</v>
      </c>
      <c r="H108" s="206">
        <f t="shared" si="20"/>
        <v>2.2400000000000002</v>
      </c>
      <c r="I108" s="207">
        <f t="shared" si="21"/>
        <v>37.36</v>
      </c>
      <c r="K108" s="268">
        <f t="shared" si="18"/>
        <v>29.189999999999998</v>
      </c>
    </row>
    <row r="109" spans="1:13" ht="26.25" thickBot="1" x14ac:dyDescent="0.25">
      <c r="A109" s="208" t="s">
        <v>147</v>
      </c>
      <c r="B109" s="209" t="s">
        <v>53</v>
      </c>
      <c r="C109" s="210" t="s">
        <v>24</v>
      </c>
      <c r="D109" s="210" t="s">
        <v>54</v>
      </c>
      <c r="E109" s="211" t="s">
        <v>26</v>
      </c>
      <c r="F109" s="209">
        <v>16.68</v>
      </c>
      <c r="G109" s="212">
        <v>12.41</v>
      </c>
      <c r="H109" s="206">
        <f t="shared" si="20"/>
        <v>15.8848</v>
      </c>
      <c r="I109" s="207">
        <f t="shared" si="21"/>
        <v>264.95</v>
      </c>
      <c r="K109" s="268">
        <f t="shared" si="18"/>
        <v>206.99879999999999</v>
      </c>
      <c r="M109" s="1">
        <f>SUM(K108:K109)</f>
        <v>236.18879999999999</v>
      </c>
    </row>
    <row r="110" spans="1:13" ht="15" thickBot="1" x14ac:dyDescent="0.25">
      <c r="A110" s="193" t="s">
        <v>376</v>
      </c>
      <c r="B110" s="194"/>
      <c r="C110" s="194"/>
      <c r="D110" s="194" t="s">
        <v>148</v>
      </c>
      <c r="E110" s="194"/>
      <c r="F110" s="195"/>
      <c r="G110" s="194"/>
      <c r="H110" s="194"/>
      <c r="I110" s="196">
        <f>I111+I113+I116+I118</f>
        <v>7456.8200000000006</v>
      </c>
      <c r="K110" s="268">
        <f t="shared" si="18"/>
        <v>0</v>
      </c>
    </row>
    <row r="111" spans="1:13" ht="15" thickBot="1" x14ac:dyDescent="0.25">
      <c r="A111" s="193" t="s">
        <v>189</v>
      </c>
      <c r="B111" s="194"/>
      <c r="C111" s="194"/>
      <c r="D111" s="194" t="s">
        <v>149</v>
      </c>
      <c r="E111" s="194"/>
      <c r="F111" s="195"/>
      <c r="G111" s="194"/>
      <c r="H111" s="194"/>
      <c r="I111" s="196">
        <f>SUM(I112)</f>
        <v>1782.25</v>
      </c>
      <c r="K111" s="268">
        <f t="shared" si="18"/>
        <v>0</v>
      </c>
    </row>
    <row r="112" spans="1:13" ht="39" customHeight="1" thickBot="1" x14ac:dyDescent="0.25">
      <c r="A112" s="197" t="s">
        <v>190</v>
      </c>
      <c r="B112" s="198">
        <v>92580</v>
      </c>
      <c r="C112" s="199" t="s">
        <v>24</v>
      </c>
      <c r="D112" s="199" t="s">
        <v>481</v>
      </c>
      <c r="E112" s="200" t="s">
        <v>26</v>
      </c>
      <c r="F112" s="198">
        <v>25.6</v>
      </c>
      <c r="G112" s="201">
        <v>54.39</v>
      </c>
      <c r="H112" s="206">
        <f t="shared" ref="H112:H115" si="22">G112*(1+28%)</f>
        <v>69.619200000000006</v>
      </c>
      <c r="I112" s="207">
        <f t="shared" ref="I112:I122" si="23">TRUNC(H112*F112,2)</f>
        <v>1782.25</v>
      </c>
      <c r="K112" s="268">
        <f t="shared" si="18"/>
        <v>1392.384</v>
      </c>
      <c r="M112" s="1">
        <f>K112</f>
        <v>1392.384</v>
      </c>
    </row>
    <row r="113" spans="1:13" ht="15" thickBot="1" x14ac:dyDescent="0.25">
      <c r="A113" s="193" t="s">
        <v>191</v>
      </c>
      <c r="B113" s="194"/>
      <c r="C113" s="194"/>
      <c r="D113" s="194" t="s">
        <v>150</v>
      </c>
      <c r="E113" s="194"/>
      <c r="F113" s="195"/>
      <c r="G113" s="194"/>
      <c r="H113" s="194"/>
      <c r="I113" s="196">
        <f>SUM(I114:I115)</f>
        <v>2111.36</v>
      </c>
      <c r="K113" s="268">
        <f t="shared" si="18"/>
        <v>0</v>
      </c>
    </row>
    <row r="114" spans="1:13" ht="25.5" x14ac:dyDescent="0.2">
      <c r="A114" s="202" t="s">
        <v>192</v>
      </c>
      <c r="B114" s="203" t="s">
        <v>151</v>
      </c>
      <c r="C114" s="204" t="s">
        <v>24</v>
      </c>
      <c r="D114" s="204" t="s">
        <v>152</v>
      </c>
      <c r="E114" s="205" t="s">
        <v>26</v>
      </c>
      <c r="F114" s="203">
        <v>17.329999999999998</v>
      </c>
      <c r="G114" s="206">
        <v>89.26</v>
      </c>
      <c r="H114" s="206">
        <f t="shared" si="22"/>
        <v>114.25280000000001</v>
      </c>
      <c r="I114" s="207">
        <f t="shared" si="23"/>
        <v>1980</v>
      </c>
      <c r="K114" s="268">
        <f t="shared" si="18"/>
        <v>1546.8758</v>
      </c>
      <c r="M114" s="1">
        <f>SUM(K114:K115)</f>
        <v>1649.5028</v>
      </c>
    </row>
    <row r="115" spans="1:13" ht="15" thickBot="1" x14ac:dyDescent="0.25">
      <c r="A115" s="219" t="s">
        <v>193</v>
      </c>
      <c r="B115" s="220" t="s">
        <v>153</v>
      </c>
      <c r="C115" s="221" t="s">
        <v>24</v>
      </c>
      <c r="D115" s="221" t="s">
        <v>154</v>
      </c>
      <c r="E115" s="222" t="s">
        <v>39</v>
      </c>
      <c r="F115" s="220">
        <v>18.100000000000001</v>
      </c>
      <c r="G115" s="223">
        <v>5.67</v>
      </c>
      <c r="H115" s="223">
        <f t="shared" si="22"/>
        <v>7.2576000000000001</v>
      </c>
      <c r="I115" s="223">
        <f t="shared" si="23"/>
        <v>131.36000000000001</v>
      </c>
      <c r="K115" s="268">
        <f t="shared" si="18"/>
        <v>102.62700000000001</v>
      </c>
    </row>
    <row r="116" spans="1:13" ht="15" thickBot="1" x14ac:dyDescent="0.25">
      <c r="A116" s="193" t="s">
        <v>194</v>
      </c>
      <c r="B116" s="194"/>
      <c r="C116" s="194"/>
      <c r="D116" s="194" t="s">
        <v>155</v>
      </c>
      <c r="E116" s="194"/>
      <c r="F116" s="195"/>
      <c r="G116" s="194"/>
      <c r="H116" s="194"/>
      <c r="I116" s="196">
        <f>SUM(I117)</f>
        <v>2130.34</v>
      </c>
      <c r="K116" s="268">
        <f t="shared" si="18"/>
        <v>0</v>
      </c>
    </row>
    <row r="117" spans="1:13" ht="51.75" thickBot="1" x14ac:dyDescent="0.25">
      <c r="A117" s="197" t="s">
        <v>195</v>
      </c>
      <c r="B117" s="198" t="s">
        <v>156</v>
      </c>
      <c r="C117" s="199" t="s">
        <v>24</v>
      </c>
      <c r="D117" s="199" t="s">
        <v>157</v>
      </c>
      <c r="E117" s="200" t="s">
        <v>26</v>
      </c>
      <c r="F117" s="198">
        <v>37.799999999999997</v>
      </c>
      <c r="G117" s="201">
        <v>44.03</v>
      </c>
      <c r="H117" s="206">
        <f>G117*(1+28%)</f>
        <v>56.358400000000003</v>
      </c>
      <c r="I117" s="207">
        <f>TRUNC(H117*F117,2)</f>
        <v>2130.34</v>
      </c>
      <c r="K117" s="268">
        <f t="shared" si="18"/>
        <v>1664.3339999999998</v>
      </c>
      <c r="M117" s="1">
        <f>K117</f>
        <v>1664.3339999999998</v>
      </c>
    </row>
    <row r="118" spans="1:13" ht="15" thickBot="1" x14ac:dyDescent="0.25">
      <c r="A118" s="193" t="s">
        <v>196</v>
      </c>
      <c r="B118" s="194"/>
      <c r="C118" s="194"/>
      <c r="D118" s="194" t="s">
        <v>199</v>
      </c>
      <c r="E118" s="194"/>
      <c r="F118" s="195"/>
      <c r="G118" s="194"/>
      <c r="H118" s="194"/>
      <c r="I118" s="196">
        <f>SUM(I119:I122)</f>
        <v>1432.87</v>
      </c>
      <c r="K118" s="268">
        <f t="shared" si="18"/>
        <v>0</v>
      </c>
    </row>
    <row r="119" spans="1:13" ht="25.5" x14ac:dyDescent="0.2">
      <c r="A119" s="202" t="s">
        <v>197</v>
      </c>
      <c r="B119" s="203" t="s">
        <v>158</v>
      </c>
      <c r="C119" s="204" t="s">
        <v>24</v>
      </c>
      <c r="D119" s="204" t="s">
        <v>159</v>
      </c>
      <c r="E119" s="205" t="s">
        <v>26</v>
      </c>
      <c r="F119" s="203">
        <v>17.329999999999998</v>
      </c>
      <c r="G119" s="206">
        <v>8.7100000000000009</v>
      </c>
      <c r="H119" s="206">
        <f t="shared" ref="H119:H122" si="24">G119*(1+28%)</f>
        <v>11.148800000000001</v>
      </c>
      <c r="I119" s="207">
        <f>TRUNC(H119*F119,2)</f>
        <v>193.2</v>
      </c>
      <c r="K119" s="268">
        <f t="shared" si="18"/>
        <v>150.9443</v>
      </c>
    </row>
    <row r="120" spans="1:13" ht="25.5" x14ac:dyDescent="0.2">
      <c r="A120" s="213" t="s">
        <v>275</v>
      </c>
      <c r="B120" s="24" t="s">
        <v>160</v>
      </c>
      <c r="C120" s="137" t="s">
        <v>24</v>
      </c>
      <c r="D120" s="137" t="s">
        <v>161</v>
      </c>
      <c r="E120" s="25" t="s">
        <v>39</v>
      </c>
      <c r="F120" s="24">
        <v>18.100000000000001</v>
      </c>
      <c r="G120" s="27">
        <v>1.9</v>
      </c>
      <c r="H120" s="206">
        <f t="shared" si="24"/>
        <v>2.4319999999999999</v>
      </c>
      <c r="I120" s="207">
        <f t="shared" si="23"/>
        <v>44.01</v>
      </c>
      <c r="K120" s="268">
        <f t="shared" si="18"/>
        <v>34.39</v>
      </c>
      <c r="M120" s="1">
        <f>SUM(K119:K122)</f>
        <v>1119.4466</v>
      </c>
    </row>
    <row r="121" spans="1:13" ht="38.25" x14ac:dyDescent="0.2">
      <c r="A121" s="213" t="s">
        <v>276</v>
      </c>
      <c r="B121" s="24" t="s">
        <v>162</v>
      </c>
      <c r="C121" s="137" t="s">
        <v>24</v>
      </c>
      <c r="D121" s="137" t="s">
        <v>163</v>
      </c>
      <c r="E121" s="25" t="s">
        <v>26</v>
      </c>
      <c r="F121" s="24">
        <v>17.329999999999998</v>
      </c>
      <c r="G121" s="27">
        <v>46.11</v>
      </c>
      <c r="H121" s="206">
        <f t="shared" si="24"/>
        <v>59.020800000000001</v>
      </c>
      <c r="I121" s="207">
        <f t="shared" si="23"/>
        <v>1022.83</v>
      </c>
      <c r="K121" s="268">
        <f t="shared" si="18"/>
        <v>799.08629999999994</v>
      </c>
    </row>
    <row r="122" spans="1:13" ht="26.25" thickBot="1" x14ac:dyDescent="0.25">
      <c r="A122" s="208" t="s">
        <v>277</v>
      </c>
      <c r="B122" s="209" t="s">
        <v>164</v>
      </c>
      <c r="C122" s="210" t="s">
        <v>24</v>
      </c>
      <c r="D122" s="210" t="s">
        <v>165</v>
      </c>
      <c r="E122" s="211" t="s">
        <v>39</v>
      </c>
      <c r="F122" s="209">
        <v>18.100000000000001</v>
      </c>
      <c r="G122" s="212">
        <v>7.46</v>
      </c>
      <c r="H122" s="206">
        <f t="shared" si="24"/>
        <v>9.5488</v>
      </c>
      <c r="I122" s="207">
        <f t="shared" si="23"/>
        <v>172.83</v>
      </c>
      <c r="K122" s="268">
        <f t="shared" si="18"/>
        <v>135.02600000000001</v>
      </c>
    </row>
    <row r="123" spans="1:13" ht="15" thickBot="1" x14ac:dyDescent="0.25">
      <c r="A123" s="193" t="s">
        <v>377</v>
      </c>
      <c r="B123" s="194"/>
      <c r="C123" s="194"/>
      <c r="D123" s="194" t="s">
        <v>200</v>
      </c>
      <c r="E123" s="194"/>
      <c r="F123" s="195"/>
      <c r="G123" s="194"/>
      <c r="H123" s="194"/>
      <c r="I123" s="196">
        <f>I124+I128</f>
        <v>5326.86</v>
      </c>
      <c r="K123" s="268">
        <f t="shared" si="18"/>
        <v>0</v>
      </c>
    </row>
    <row r="124" spans="1:13" ht="15" thickBot="1" x14ac:dyDescent="0.25">
      <c r="A124" s="193" t="s">
        <v>378</v>
      </c>
      <c r="B124" s="194"/>
      <c r="C124" s="194"/>
      <c r="D124" s="194" t="s">
        <v>109</v>
      </c>
      <c r="E124" s="194"/>
      <c r="F124" s="195"/>
      <c r="G124" s="194"/>
      <c r="H124" s="194"/>
      <c r="I124" s="196">
        <f>SUM(I125:I127)</f>
        <v>2473.12</v>
      </c>
      <c r="K124" s="268">
        <f t="shared" si="18"/>
        <v>0</v>
      </c>
    </row>
    <row r="125" spans="1:13" ht="25.5" x14ac:dyDescent="0.2">
      <c r="A125" s="202" t="s">
        <v>379</v>
      </c>
      <c r="B125" s="203" t="s">
        <v>439</v>
      </c>
      <c r="C125" s="204" t="s">
        <v>18</v>
      </c>
      <c r="D125" s="204" t="s">
        <v>441</v>
      </c>
      <c r="E125" s="205" t="s">
        <v>26</v>
      </c>
      <c r="F125" s="203">
        <v>107.52</v>
      </c>
      <c r="G125" s="206">
        <f>Composições!H109</f>
        <v>6.4</v>
      </c>
      <c r="H125" s="206">
        <f t="shared" ref="H125:H127" si="25">G125*(1+28%)</f>
        <v>8.1920000000000002</v>
      </c>
      <c r="I125" s="207">
        <f t="shared" ref="I125:I130" si="26">TRUNC(H125*F125,2)</f>
        <v>880.8</v>
      </c>
      <c r="K125" s="268">
        <f t="shared" si="18"/>
        <v>688.12800000000004</v>
      </c>
    </row>
    <row r="126" spans="1:13" ht="25.5" x14ac:dyDescent="0.2">
      <c r="A126" s="213" t="s">
        <v>380</v>
      </c>
      <c r="B126" s="24" t="s">
        <v>111</v>
      </c>
      <c r="C126" s="137" t="s">
        <v>24</v>
      </c>
      <c r="D126" s="137" t="s">
        <v>112</v>
      </c>
      <c r="E126" s="25" t="s">
        <v>26</v>
      </c>
      <c r="F126" s="24">
        <v>107.52</v>
      </c>
      <c r="G126" s="27">
        <v>1.75</v>
      </c>
      <c r="H126" s="206">
        <f>G126*(1+28%)</f>
        <v>2.2400000000000002</v>
      </c>
      <c r="I126" s="207">
        <f>TRUNC(H126*F126,2)</f>
        <v>240.84</v>
      </c>
      <c r="K126" s="268">
        <f t="shared" si="18"/>
        <v>188.16</v>
      </c>
      <c r="M126" s="1">
        <f>SUM(K125:K127)</f>
        <v>1932.1343999999999</v>
      </c>
    </row>
    <row r="127" spans="1:13" ht="26.25" thickBot="1" x14ac:dyDescent="0.25">
      <c r="A127" s="208" t="s">
        <v>278</v>
      </c>
      <c r="B127" s="209" t="s">
        <v>166</v>
      </c>
      <c r="C127" s="210" t="s">
        <v>24</v>
      </c>
      <c r="D127" s="210" t="s">
        <v>167</v>
      </c>
      <c r="E127" s="211" t="s">
        <v>26</v>
      </c>
      <c r="F127" s="209">
        <v>107.52</v>
      </c>
      <c r="G127" s="212">
        <v>9.82</v>
      </c>
      <c r="H127" s="206">
        <f t="shared" si="25"/>
        <v>12.569600000000001</v>
      </c>
      <c r="I127" s="207">
        <f t="shared" si="26"/>
        <v>1351.48</v>
      </c>
      <c r="K127" s="268">
        <f t="shared" si="18"/>
        <v>1055.8463999999999</v>
      </c>
    </row>
    <row r="128" spans="1:13" ht="15" thickBot="1" x14ac:dyDescent="0.25">
      <c r="A128" s="193" t="s">
        <v>381</v>
      </c>
      <c r="B128" s="194"/>
      <c r="C128" s="194"/>
      <c r="D128" s="194" t="s">
        <v>113</v>
      </c>
      <c r="E128" s="194"/>
      <c r="F128" s="195"/>
      <c r="G128" s="194"/>
      <c r="H128" s="194"/>
      <c r="I128" s="196">
        <f>SUM(I129:I130)</f>
        <v>2853.74</v>
      </c>
      <c r="K128" s="268">
        <f t="shared" si="18"/>
        <v>0</v>
      </c>
    </row>
    <row r="129" spans="1:13" ht="25.5" x14ac:dyDescent="0.2">
      <c r="A129" s="202" t="s">
        <v>382</v>
      </c>
      <c r="B129" s="203" t="s">
        <v>111</v>
      </c>
      <c r="C129" s="204" t="s">
        <v>24</v>
      </c>
      <c r="D129" s="204" t="s">
        <v>112</v>
      </c>
      <c r="E129" s="205" t="s">
        <v>26</v>
      </c>
      <c r="F129" s="203">
        <v>157.44999999999999</v>
      </c>
      <c r="G129" s="206">
        <v>1.75</v>
      </c>
      <c r="H129" s="206">
        <f t="shared" ref="H129:H130" si="27">G129*(1+28%)</f>
        <v>2.2400000000000002</v>
      </c>
      <c r="I129" s="207">
        <f>TRUNC(H129*F129,2)</f>
        <v>352.68</v>
      </c>
      <c r="K129" s="268">
        <f t="shared" si="18"/>
        <v>275.53749999999997</v>
      </c>
    </row>
    <row r="130" spans="1:13" ht="26.25" thickBot="1" x14ac:dyDescent="0.25">
      <c r="A130" s="208" t="s">
        <v>383</v>
      </c>
      <c r="B130" s="209" t="s">
        <v>53</v>
      </c>
      <c r="C130" s="210" t="s">
        <v>24</v>
      </c>
      <c r="D130" s="210" t="s">
        <v>54</v>
      </c>
      <c r="E130" s="211" t="s">
        <v>26</v>
      </c>
      <c r="F130" s="209">
        <v>157.44999999999999</v>
      </c>
      <c r="G130" s="212">
        <v>12.41</v>
      </c>
      <c r="H130" s="206">
        <f t="shared" si="27"/>
        <v>15.8848</v>
      </c>
      <c r="I130" s="207">
        <f t="shared" si="26"/>
        <v>2501.06</v>
      </c>
      <c r="K130" s="268">
        <f t="shared" si="18"/>
        <v>1953.9544999999998</v>
      </c>
      <c r="M130" s="1">
        <f>SUM(K129:K130)</f>
        <v>2229.4919999999997</v>
      </c>
    </row>
    <row r="131" spans="1:13" ht="15" thickBot="1" x14ac:dyDescent="0.25">
      <c r="A131" s="193" t="s">
        <v>384</v>
      </c>
      <c r="B131" s="194"/>
      <c r="C131" s="194"/>
      <c r="D131" s="194" t="s">
        <v>168</v>
      </c>
      <c r="E131" s="194"/>
      <c r="F131" s="195"/>
      <c r="G131" s="194"/>
      <c r="H131" s="194"/>
      <c r="I131" s="196">
        <f>SUM(I132:I136)</f>
        <v>27141.95</v>
      </c>
      <c r="K131" s="268">
        <f t="shared" si="18"/>
        <v>0</v>
      </c>
    </row>
    <row r="132" spans="1:13" ht="25.5" x14ac:dyDescent="0.2">
      <c r="A132" s="189" t="s">
        <v>169</v>
      </c>
      <c r="B132" s="24" t="s">
        <v>170</v>
      </c>
      <c r="C132" s="189" t="s">
        <v>24</v>
      </c>
      <c r="D132" s="189" t="s">
        <v>171</v>
      </c>
      <c r="E132" s="25" t="s">
        <v>26</v>
      </c>
      <c r="F132" s="24">
        <v>305.64999999999998</v>
      </c>
      <c r="G132" s="27">
        <v>14.82</v>
      </c>
      <c r="H132" s="206">
        <f t="shared" ref="H132:H136" si="28">G132*(1+28%)</f>
        <v>18.9696</v>
      </c>
      <c r="I132" s="207">
        <f t="shared" ref="I132:I136" si="29">TRUNC(H132*F132,2)</f>
        <v>5798.05</v>
      </c>
      <c r="K132" s="268">
        <f t="shared" si="18"/>
        <v>4529.7330000000002</v>
      </c>
    </row>
    <row r="133" spans="1:13" ht="25.5" x14ac:dyDescent="0.2">
      <c r="A133" s="189" t="s">
        <v>408</v>
      </c>
      <c r="B133" s="203" t="s">
        <v>439</v>
      </c>
      <c r="C133" s="204" t="s">
        <v>18</v>
      </c>
      <c r="D133" s="204" t="s">
        <v>441</v>
      </c>
      <c r="E133" s="205" t="s">
        <v>26</v>
      </c>
      <c r="F133" s="24">
        <v>840</v>
      </c>
      <c r="G133" s="27">
        <f>Composições!H109</f>
        <v>6.4</v>
      </c>
      <c r="H133" s="206">
        <f t="shared" si="28"/>
        <v>8.1920000000000002</v>
      </c>
      <c r="I133" s="207">
        <f t="shared" si="29"/>
        <v>6881.28</v>
      </c>
      <c r="K133" s="268">
        <f t="shared" si="18"/>
        <v>5376</v>
      </c>
    </row>
    <row r="134" spans="1:13" ht="25.5" x14ac:dyDescent="0.2">
      <c r="A134" s="189" t="s">
        <v>409</v>
      </c>
      <c r="B134" s="24" t="s">
        <v>50</v>
      </c>
      <c r="C134" s="189" t="s">
        <v>24</v>
      </c>
      <c r="D134" s="189" t="s">
        <v>51</v>
      </c>
      <c r="E134" s="25" t="s">
        <v>26</v>
      </c>
      <c r="F134" s="24">
        <v>281</v>
      </c>
      <c r="G134" s="27">
        <v>11.13</v>
      </c>
      <c r="H134" s="206">
        <f t="shared" si="28"/>
        <v>14.246400000000001</v>
      </c>
      <c r="I134" s="207">
        <f>TRUNC(H134*F134,2)</f>
        <v>4003.23</v>
      </c>
      <c r="K134" s="268">
        <f t="shared" si="18"/>
        <v>3127.53</v>
      </c>
    </row>
    <row r="135" spans="1:13" ht="25.5" x14ac:dyDescent="0.2">
      <c r="A135" s="189" t="s">
        <v>410</v>
      </c>
      <c r="B135" s="24" t="s">
        <v>53</v>
      </c>
      <c r="C135" s="189" t="s">
        <v>24</v>
      </c>
      <c r="D135" s="189" t="s">
        <v>54</v>
      </c>
      <c r="E135" s="25" t="s">
        <v>26</v>
      </c>
      <c r="F135" s="24">
        <v>540</v>
      </c>
      <c r="G135" s="27">
        <v>12.41</v>
      </c>
      <c r="H135" s="206">
        <f t="shared" si="28"/>
        <v>15.8848</v>
      </c>
      <c r="I135" s="207">
        <f t="shared" si="29"/>
        <v>8577.7900000000009</v>
      </c>
      <c r="K135" s="268">
        <f t="shared" si="18"/>
        <v>6701.4</v>
      </c>
      <c r="M135" s="1">
        <f>SUM(K132:K136)</f>
        <v>21204.663</v>
      </c>
    </row>
    <row r="136" spans="1:13" ht="25.5" x14ac:dyDescent="0.2">
      <c r="A136" s="189" t="s">
        <v>411</v>
      </c>
      <c r="B136" s="24" t="s">
        <v>111</v>
      </c>
      <c r="C136" s="189" t="s">
        <v>24</v>
      </c>
      <c r="D136" s="189" t="s">
        <v>112</v>
      </c>
      <c r="E136" s="25" t="s">
        <v>26</v>
      </c>
      <c r="F136" s="24">
        <v>840</v>
      </c>
      <c r="G136" s="27">
        <v>1.75</v>
      </c>
      <c r="H136" s="206">
        <f t="shared" si="28"/>
        <v>2.2400000000000002</v>
      </c>
      <c r="I136" s="207">
        <f t="shared" si="29"/>
        <v>1881.6</v>
      </c>
      <c r="K136" s="268">
        <f t="shared" si="18"/>
        <v>1470</v>
      </c>
    </row>
    <row r="137" spans="1:13" x14ac:dyDescent="0.2">
      <c r="A137" s="293" t="s">
        <v>182</v>
      </c>
      <c r="B137" s="294"/>
      <c r="C137" s="294"/>
      <c r="D137" s="294"/>
      <c r="E137" s="294"/>
      <c r="F137" s="294"/>
      <c r="G137" s="294"/>
      <c r="H137" s="307">
        <v>200537.09</v>
      </c>
      <c r="I137" s="308"/>
    </row>
    <row r="138" spans="1:13" x14ac:dyDescent="0.2">
      <c r="A138" s="293" t="s">
        <v>183</v>
      </c>
      <c r="B138" s="294"/>
      <c r="C138" s="294"/>
      <c r="D138" s="294"/>
      <c r="E138" s="294"/>
      <c r="F138" s="294"/>
      <c r="G138" s="294"/>
      <c r="H138" s="295">
        <f>H139-H137</f>
        <v>56150.380000000005</v>
      </c>
      <c r="I138" s="296"/>
      <c r="K138" s="48">
        <f>SUM(K10:K137)</f>
        <v>200537.37740000003</v>
      </c>
    </row>
    <row r="139" spans="1:13" ht="15" thickBot="1" x14ac:dyDescent="0.25">
      <c r="A139" s="297" t="s">
        <v>184</v>
      </c>
      <c r="B139" s="298"/>
      <c r="C139" s="298"/>
      <c r="D139" s="298"/>
      <c r="E139" s="298"/>
      <c r="F139" s="298"/>
      <c r="G139" s="298"/>
      <c r="H139" s="299">
        <f>I9+I11+I14+I48+I86+I131</f>
        <v>256687.47</v>
      </c>
      <c r="I139" s="300"/>
    </row>
  </sheetData>
  <mergeCells count="11">
    <mergeCell ref="A138:G138"/>
    <mergeCell ref="H138:I138"/>
    <mergeCell ref="A139:G139"/>
    <mergeCell ref="H139:I139"/>
    <mergeCell ref="B1:D1"/>
    <mergeCell ref="B2:D2"/>
    <mergeCell ref="B3:D3"/>
    <mergeCell ref="A5:I5"/>
    <mergeCell ref="A6:I6"/>
    <mergeCell ref="A137:G137"/>
    <mergeCell ref="H137:I137"/>
  </mergeCells>
  <phoneticPr fontId="42" type="noConversion"/>
  <printOptions horizontalCentered="1" verticalCentered="1"/>
  <pageMargins left="0.51181102362204722" right="0.51181102362204722" top="1.2007874015748032" bottom="0.70866141732283472" header="0.51181102362204722" footer="0.51181102362204722"/>
  <pageSetup paperSize="9" scale="81" fitToHeight="0" orientation="landscape" r:id="rId1"/>
  <headerFooter>
    <oddHeader>&amp;L &amp;C&amp;G</oddHeader>
    <oddFooter>Página &amp;P de &amp;N</oddFooter>
  </headerFooter>
  <rowBreaks count="3" manualBreakCount="3">
    <brk id="25" max="8" man="1"/>
    <brk id="47" max="8" man="1"/>
    <brk id="115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2E9A-ADAB-416E-AD97-0591072323BE}">
  <sheetPr>
    <pageSetUpPr fitToPage="1"/>
  </sheetPr>
  <dimension ref="A1:H146"/>
  <sheetViews>
    <sheetView showOutlineSymbols="0" showWhiteSpace="0" view="pageBreakPreview" zoomScale="90" zoomScaleNormal="100" zoomScaleSheetLayoutView="90" workbookViewId="0">
      <selection activeCell="D20" sqref="D20"/>
    </sheetView>
  </sheetViews>
  <sheetFormatPr defaultRowHeight="14.25" x14ac:dyDescent="0.2"/>
  <cols>
    <col min="1" max="1" width="11.25" style="226" customWidth="1"/>
    <col min="2" max="2" width="10.125" style="226" bestFit="1" customWidth="1"/>
    <col min="3" max="3" width="6.5" style="226" bestFit="1" customWidth="1"/>
    <col min="4" max="4" width="60.875" style="226" customWidth="1"/>
    <col min="5" max="5" width="16.5" style="226" bestFit="1" customWidth="1"/>
    <col min="6" max="6" width="13.5" style="226" bestFit="1" customWidth="1"/>
    <col min="7" max="7" width="9.625" style="226" bestFit="1" customWidth="1"/>
    <col min="8" max="8" width="13.75" style="226" customWidth="1"/>
    <col min="9" max="9" width="14" style="226" bestFit="1" customWidth="1"/>
    <col min="10" max="16384" width="9" style="226"/>
  </cols>
  <sheetData>
    <row r="1" spans="1:8" ht="15" x14ac:dyDescent="0.2">
      <c r="A1" s="224"/>
      <c r="B1" s="224"/>
      <c r="C1" s="327" t="s">
        <v>203</v>
      </c>
      <c r="D1" s="327"/>
      <c r="E1" s="327" t="s">
        <v>0</v>
      </c>
      <c r="F1" s="327"/>
      <c r="G1" s="327" t="s">
        <v>1</v>
      </c>
      <c r="H1" s="327"/>
    </row>
    <row r="2" spans="1:8" x14ac:dyDescent="0.2">
      <c r="A2" s="225"/>
      <c r="B2" s="225"/>
      <c r="C2" s="328" t="s">
        <v>2</v>
      </c>
      <c r="D2" s="328"/>
      <c r="E2" s="328" t="s">
        <v>3</v>
      </c>
      <c r="F2" s="328"/>
      <c r="G2" s="328" t="s">
        <v>504</v>
      </c>
      <c r="H2" s="328"/>
    </row>
    <row r="3" spans="1:8" ht="15" x14ac:dyDescent="0.25">
      <c r="A3" s="325" t="s">
        <v>203</v>
      </c>
      <c r="B3" s="326"/>
      <c r="C3" s="326"/>
      <c r="D3" s="326"/>
      <c r="E3" s="326"/>
      <c r="F3" s="326"/>
      <c r="G3" s="326"/>
      <c r="H3" s="326"/>
    </row>
    <row r="4" spans="1:8" ht="15" x14ac:dyDescent="0.25">
      <c r="A4" s="325" t="s">
        <v>204</v>
      </c>
      <c r="B4" s="326"/>
      <c r="C4" s="326"/>
      <c r="D4" s="326"/>
      <c r="E4" s="326"/>
      <c r="F4" s="326"/>
      <c r="G4" s="326"/>
      <c r="H4" s="326"/>
    </row>
    <row r="5" spans="1:8" ht="15" x14ac:dyDescent="0.2">
      <c r="A5" s="188" t="s">
        <v>17</v>
      </c>
      <c r="B5" s="22" t="s">
        <v>5</v>
      </c>
      <c r="C5" s="188" t="s">
        <v>6</v>
      </c>
      <c r="D5" s="188" t="s">
        <v>7</v>
      </c>
      <c r="E5" s="23" t="s">
        <v>8</v>
      </c>
      <c r="F5" s="22" t="s">
        <v>9</v>
      </c>
      <c r="G5" s="22" t="s">
        <v>10</v>
      </c>
      <c r="H5" s="22" t="s">
        <v>12</v>
      </c>
    </row>
    <row r="6" spans="1:8" x14ac:dyDescent="0.2">
      <c r="A6" s="189" t="s">
        <v>205</v>
      </c>
      <c r="B6" s="24" t="s">
        <v>185</v>
      </c>
      <c r="C6" s="189" t="s">
        <v>18</v>
      </c>
      <c r="D6" s="189" t="s">
        <v>19</v>
      </c>
      <c r="E6" s="25" t="s">
        <v>20</v>
      </c>
      <c r="F6" s="26">
        <v>1</v>
      </c>
      <c r="G6" s="27">
        <f>H6</f>
        <v>5556.47</v>
      </c>
      <c r="H6" s="27">
        <f>SUM(H7:H8)</f>
        <v>5556.47</v>
      </c>
    </row>
    <row r="7" spans="1:8" ht="24" customHeight="1" x14ac:dyDescent="0.2">
      <c r="A7" s="190" t="s">
        <v>206</v>
      </c>
      <c r="B7" s="28" t="s">
        <v>207</v>
      </c>
      <c r="C7" s="190" t="s">
        <v>24</v>
      </c>
      <c r="D7" s="190" t="s">
        <v>208</v>
      </c>
      <c r="E7" s="29" t="s">
        <v>209</v>
      </c>
      <c r="F7" s="30">
        <v>20</v>
      </c>
      <c r="G7" s="31">
        <v>81.02</v>
      </c>
      <c r="H7" s="31">
        <f>TRUNC(G7*F7,2)</f>
        <v>1620.4</v>
      </c>
    </row>
    <row r="8" spans="1:8" ht="24" customHeight="1" x14ac:dyDescent="0.2">
      <c r="A8" s="190" t="s">
        <v>206</v>
      </c>
      <c r="B8" s="28" t="s">
        <v>210</v>
      </c>
      <c r="C8" s="190" t="s">
        <v>24</v>
      </c>
      <c r="D8" s="190" t="s">
        <v>211</v>
      </c>
      <c r="E8" s="29" t="s">
        <v>20</v>
      </c>
      <c r="F8" s="30">
        <v>1</v>
      </c>
      <c r="G8" s="31">
        <v>3936.07</v>
      </c>
      <c r="H8" s="31">
        <f>TRUNC(G8*F8,2)</f>
        <v>3936.07</v>
      </c>
    </row>
    <row r="9" spans="1:8" x14ac:dyDescent="0.2">
      <c r="A9" s="228"/>
      <c r="B9" s="228"/>
      <c r="C9" s="228"/>
      <c r="D9" s="228"/>
      <c r="E9" s="228"/>
      <c r="F9" s="324" t="s">
        <v>212</v>
      </c>
      <c r="G9" s="324"/>
      <c r="H9" s="227">
        <f>H10-H6</f>
        <v>1555.8116</v>
      </c>
    </row>
    <row r="10" spans="1:8" ht="15" thickBot="1" x14ac:dyDescent="0.25">
      <c r="A10" s="228"/>
      <c r="B10" s="228"/>
      <c r="C10" s="228"/>
      <c r="D10" s="228"/>
      <c r="E10" s="228"/>
      <c r="F10" s="321" t="s">
        <v>213</v>
      </c>
      <c r="G10" s="321"/>
      <c r="H10" s="227">
        <f>H6*(1+28%)</f>
        <v>7112.2816000000003</v>
      </c>
    </row>
    <row r="11" spans="1:8" ht="0.95" customHeight="1" thickTop="1" thickBot="1" x14ac:dyDescent="0.25">
      <c r="A11" s="229"/>
      <c r="B11" s="229"/>
      <c r="C11" s="229"/>
      <c r="D11" s="229"/>
      <c r="E11" s="229"/>
      <c r="F11" s="229"/>
      <c r="G11" s="229"/>
      <c r="H11" s="229"/>
    </row>
    <row r="12" spans="1:8" ht="15" x14ac:dyDescent="0.2">
      <c r="A12" s="250" t="s">
        <v>427</v>
      </c>
      <c r="B12" s="251" t="s">
        <v>5</v>
      </c>
      <c r="C12" s="252" t="s">
        <v>6</v>
      </c>
      <c r="D12" s="252" t="s">
        <v>7</v>
      </c>
      <c r="E12" s="253" t="s">
        <v>8</v>
      </c>
      <c r="F12" s="251" t="s">
        <v>9</v>
      </c>
      <c r="G12" s="251" t="s">
        <v>10</v>
      </c>
      <c r="H12" s="254" t="s">
        <v>12</v>
      </c>
    </row>
    <row r="13" spans="1:8" x14ac:dyDescent="0.2">
      <c r="A13" s="213" t="s">
        <v>205</v>
      </c>
      <c r="B13" s="24" t="s">
        <v>395</v>
      </c>
      <c r="C13" s="245" t="s">
        <v>18</v>
      </c>
      <c r="D13" s="245" t="s">
        <v>428</v>
      </c>
      <c r="E13" s="25" t="s">
        <v>56</v>
      </c>
      <c r="F13" s="26">
        <v>1</v>
      </c>
      <c r="G13" s="27">
        <f>H13</f>
        <v>321.68999999999994</v>
      </c>
      <c r="H13" s="255">
        <f>SUM(H14:H19)</f>
        <v>321.68999999999994</v>
      </c>
    </row>
    <row r="14" spans="1:8" ht="25.5" x14ac:dyDescent="0.2">
      <c r="A14" s="256" t="s">
        <v>206</v>
      </c>
      <c r="B14" s="28">
        <v>88316</v>
      </c>
      <c r="C14" s="246" t="s">
        <v>24</v>
      </c>
      <c r="D14" s="246" t="s">
        <v>219</v>
      </c>
      <c r="E14" s="29" t="s">
        <v>209</v>
      </c>
      <c r="F14" s="30">
        <v>2</v>
      </c>
      <c r="G14" s="31">
        <v>16.02</v>
      </c>
      <c r="H14" s="257">
        <f>TRUNC(G14*F14,2)</f>
        <v>32.04</v>
      </c>
    </row>
    <row r="15" spans="1:8" ht="24" customHeight="1" x14ac:dyDescent="0.2">
      <c r="A15" s="256" t="s">
        <v>206</v>
      </c>
      <c r="B15" s="28">
        <v>88262</v>
      </c>
      <c r="C15" s="246" t="s">
        <v>24</v>
      </c>
      <c r="D15" s="246" t="s">
        <v>217</v>
      </c>
      <c r="E15" s="29" t="s">
        <v>209</v>
      </c>
      <c r="F15" s="30">
        <v>1</v>
      </c>
      <c r="G15" s="31">
        <v>19.739999999999998</v>
      </c>
      <c r="H15" s="257">
        <f t="shared" ref="H15:H19" si="0">TRUNC(G15*F15,2)</f>
        <v>19.739999999999998</v>
      </c>
    </row>
    <row r="16" spans="1:8" ht="24" customHeight="1" x14ac:dyDescent="0.2">
      <c r="A16" s="258" t="s">
        <v>220</v>
      </c>
      <c r="B16" s="32">
        <v>4813</v>
      </c>
      <c r="C16" s="242" t="s">
        <v>24</v>
      </c>
      <c r="D16" s="242" t="s">
        <v>221</v>
      </c>
      <c r="E16" s="33" t="s">
        <v>26</v>
      </c>
      <c r="F16" s="34">
        <v>1</v>
      </c>
      <c r="G16" s="35">
        <v>225</v>
      </c>
      <c r="H16" s="35">
        <f t="shared" si="0"/>
        <v>225</v>
      </c>
    </row>
    <row r="17" spans="1:8" ht="24" customHeight="1" x14ac:dyDescent="0.2">
      <c r="A17" s="258" t="s">
        <v>220</v>
      </c>
      <c r="B17" s="32">
        <v>4491</v>
      </c>
      <c r="C17" s="242" t="s">
        <v>24</v>
      </c>
      <c r="D17" s="242" t="s">
        <v>223</v>
      </c>
      <c r="E17" s="33" t="s">
        <v>39</v>
      </c>
      <c r="F17" s="34">
        <v>4</v>
      </c>
      <c r="G17" s="35">
        <v>9.0399999999999991</v>
      </c>
      <c r="H17" s="35">
        <f t="shared" si="0"/>
        <v>36.159999999999997</v>
      </c>
    </row>
    <row r="18" spans="1:8" ht="24" customHeight="1" x14ac:dyDescent="0.2">
      <c r="A18" s="258" t="s">
        <v>220</v>
      </c>
      <c r="B18" s="32">
        <v>5075</v>
      </c>
      <c r="C18" s="242" t="s">
        <v>24</v>
      </c>
      <c r="D18" s="242" t="s">
        <v>224</v>
      </c>
      <c r="E18" s="33" t="s">
        <v>429</v>
      </c>
      <c r="F18" s="34">
        <v>0.11</v>
      </c>
      <c r="G18" s="35">
        <v>23.92</v>
      </c>
      <c r="H18" s="35">
        <f t="shared" si="0"/>
        <v>2.63</v>
      </c>
    </row>
    <row r="19" spans="1:8" ht="25.5" x14ac:dyDescent="0.2">
      <c r="A19" s="258" t="s">
        <v>220</v>
      </c>
      <c r="B19" s="32">
        <v>4417</v>
      </c>
      <c r="C19" s="242" t="s">
        <v>24</v>
      </c>
      <c r="D19" s="242" t="s">
        <v>225</v>
      </c>
      <c r="E19" s="33" t="s">
        <v>39</v>
      </c>
      <c r="F19" s="34">
        <v>1</v>
      </c>
      <c r="G19" s="35">
        <v>6.12</v>
      </c>
      <c r="H19" s="35">
        <f t="shared" si="0"/>
        <v>6.12</v>
      </c>
    </row>
    <row r="20" spans="1:8" x14ac:dyDescent="0.2">
      <c r="A20" s="259" t="s">
        <v>430</v>
      </c>
      <c r="B20" s="243"/>
      <c r="C20" s="243"/>
      <c r="D20" s="243"/>
      <c r="E20" s="243"/>
      <c r="F20" s="324" t="s">
        <v>212</v>
      </c>
      <c r="G20" s="324"/>
      <c r="H20" s="260">
        <f>H21-H13</f>
        <v>90.073199999999986</v>
      </c>
    </row>
    <row r="21" spans="1:8" ht="14.25" customHeight="1" thickBot="1" x14ac:dyDescent="0.25">
      <c r="A21" s="330" t="s">
        <v>431</v>
      </c>
      <c r="B21" s="317"/>
      <c r="C21" s="317"/>
      <c r="D21" s="317"/>
      <c r="E21" s="317"/>
      <c r="F21" s="329" t="s">
        <v>213</v>
      </c>
      <c r="G21" s="329"/>
      <c r="H21" s="269">
        <f>H13*(1+28%)</f>
        <v>411.76319999999993</v>
      </c>
    </row>
    <row r="22" spans="1:8" ht="0.95" customHeight="1" thickTop="1" x14ac:dyDescent="0.2">
      <c r="A22" s="229"/>
      <c r="B22" s="229"/>
      <c r="C22" s="229"/>
      <c r="D22" s="229"/>
      <c r="E22" s="229"/>
      <c r="F22" s="229"/>
      <c r="G22" s="229"/>
      <c r="H22" s="229"/>
    </row>
    <row r="23" spans="1:8" ht="15" x14ac:dyDescent="0.2">
      <c r="A23" s="188" t="s">
        <v>27</v>
      </c>
      <c r="B23" s="22" t="s">
        <v>5</v>
      </c>
      <c r="C23" s="188" t="s">
        <v>6</v>
      </c>
      <c r="D23" s="188" t="s">
        <v>7</v>
      </c>
      <c r="E23" s="23" t="s">
        <v>8</v>
      </c>
      <c r="F23" s="22" t="s">
        <v>9</v>
      </c>
      <c r="G23" s="22" t="s">
        <v>10</v>
      </c>
      <c r="H23" s="22" t="s">
        <v>12</v>
      </c>
    </row>
    <row r="24" spans="1:8" ht="24" customHeight="1" x14ac:dyDescent="0.2">
      <c r="A24" s="189" t="s">
        <v>205</v>
      </c>
      <c r="B24" s="24" t="s">
        <v>396</v>
      </c>
      <c r="C24" s="189" t="s">
        <v>18</v>
      </c>
      <c r="D24" s="189" t="s">
        <v>28</v>
      </c>
      <c r="E24" s="25" t="s">
        <v>26</v>
      </c>
      <c r="F24" s="26">
        <v>1</v>
      </c>
      <c r="G24" s="27">
        <f>H24</f>
        <v>458.41</v>
      </c>
      <c r="H24" s="27">
        <f>SUM(H25:H34)</f>
        <v>458.41</v>
      </c>
    </row>
    <row r="25" spans="1:8" ht="38.25" x14ac:dyDescent="0.2">
      <c r="A25" s="190" t="s">
        <v>206</v>
      </c>
      <c r="B25" s="28" t="s">
        <v>226</v>
      </c>
      <c r="C25" s="190" t="s">
        <v>24</v>
      </c>
      <c r="D25" s="190" t="s">
        <v>227</v>
      </c>
      <c r="E25" s="29" t="s">
        <v>26</v>
      </c>
      <c r="F25" s="30">
        <v>0.80230000000000001</v>
      </c>
      <c r="G25" s="31">
        <v>160.66999999999999</v>
      </c>
      <c r="H25" s="31">
        <f>TRUNC(G25*F25,2)</f>
        <v>128.9</v>
      </c>
    </row>
    <row r="26" spans="1:8" ht="38.25" x14ac:dyDescent="0.2">
      <c r="A26" s="190" t="s">
        <v>206</v>
      </c>
      <c r="B26" s="28" t="s">
        <v>228</v>
      </c>
      <c r="C26" s="190" t="s">
        <v>24</v>
      </c>
      <c r="D26" s="190" t="s">
        <v>229</v>
      </c>
      <c r="E26" s="29" t="s">
        <v>26</v>
      </c>
      <c r="F26" s="30">
        <v>0.62549999999999994</v>
      </c>
      <c r="G26" s="31">
        <v>201.84</v>
      </c>
      <c r="H26" s="31">
        <f t="shared" ref="H26:H34" si="1">TRUNC(G26*F26,2)</f>
        <v>126.25</v>
      </c>
    </row>
    <row r="27" spans="1:8" ht="38.25" x14ac:dyDescent="0.2">
      <c r="A27" s="190" t="s">
        <v>206</v>
      </c>
      <c r="B27" s="28" t="s">
        <v>230</v>
      </c>
      <c r="C27" s="190" t="s">
        <v>24</v>
      </c>
      <c r="D27" s="190" t="s">
        <v>231</v>
      </c>
      <c r="E27" s="29" t="s">
        <v>26</v>
      </c>
      <c r="F27" s="30">
        <v>0.59109999999999996</v>
      </c>
      <c r="G27" s="31">
        <v>138.22</v>
      </c>
      <c r="H27" s="31">
        <f t="shared" si="1"/>
        <v>81.7</v>
      </c>
    </row>
    <row r="28" spans="1:8" ht="40.5" customHeight="1" x14ac:dyDescent="0.2">
      <c r="A28" s="190" t="s">
        <v>206</v>
      </c>
      <c r="B28" s="28" t="s">
        <v>232</v>
      </c>
      <c r="C28" s="190" t="s">
        <v>24</v>
      </c>
      <c r="D28" s="190" t="s">
        <v>233</v>
      </c>
      <c r="E28" s="29" t="s">
        <v>26</v>
      </c>
      <c r="F28" s="30">
        <v>1.7192000000000001</v>
      </c>
      <c r="G28" s="31">
        <v>19.37</v>
      </c>
      <c r="H28" s="31">
        <f t="shared" si="1"/>
        <v>33.299999999999997</v>
      </c>
    </row>
    <row r="29" spans="1:8" ht="51.75" thickTop="1" x14ac:dyDescent="0.2">
      <c r="A29" s="190" t="s">
        <v>206</v>
      </c>
      <c r="B29" s="28" t="s">
        <v>234</v>
      </c>
      <c r="C29" s="190" t="s">
        <v>24</v>
      </c>
      <c r="D29" s="190" t="s">
        <v>235</v>
      </c>
      <c r="E29" s="29" t="s">
        <v>26</v>
      </c>
      <c r="F29" s="30">
        <v>1.7192000000000001</v>
      </c>
      <c r="G29" s="31">
        <v>46.75</v>
      </c>
      <c r="H29" s="31">
        <f t="shared" si="1"/>
        <v>80.37</v>
      </c>
    </row>
    <row r="30" spans="1:8" ht="26.25" customHeight="1" x14ac:dyDescent="0.2">
      <c r="A30" s="190" t="s">
        <v>206</v>
      </c>
      <c r="B30" s="28" t="s">
        <v>236</v>
      </c>
      <c r="C30" s="190" t="s">
        <v>24</v>
      </c>
      <c r="D30" s="190" t="s">
        <v>237</v>
      </c>
      <c r="E30" s="29" t="s">
        <v>39</v>
      </c>
      <c r="F30" s="30">
        <v>0.67549999999999999</v>
      </c>
      <c r="G30" s="31">
        <v>2.7</v>
      </c>
      <c r="H30" s="31">
        <f t="shared" si="1"/>
        <v>1.82</v>
      </c>
    </row>
    <row r="31" spans="1:8" ht="24" customHeight="1" x14ac:dyDescent="0.2">
      <c r="A31" s="190" t="s">
        <v>206</v>
      </c>
      <c r="B31" s="28" t="s">
        <v>238</v>
      </c>
      <c r="C31" s="190" t="s">
        <v>24</v>
      </c>
      <c r="D31" s="190" t="s">
        <v>239</v>
      </c>
      <c r="E31" s="29" t="s">
        <v>56</v>
      </c>
      <c r="F31" s="30">
        <v>0.13239999999999999</v>
      </c>
      <c r="G31" s="31">
        <v>14.88</v>
      </c>
      <c r="H31" s="31">
        <f t="shared" si="1"/>
        <v>1.97</v>
      </c>
    </row>
    <row r="32" spans="1:8" ht="38.25" x14ac:dyDescent="0.2">
      <c r="A32" s="190" t="s">
        <v>206</v>
      </c>
      <c r="B32" s="28" t="s">
        <v>240</v>
      </c>
      <c r="C32" s="190" t="s">
        <v>24</v>
      </c>
      <c r="D32" s="190" t="s">
        <v>241</v>
      </c>
      <c r="E32" s="29" t="s">
        <v>56</v>
      </c>
      <c r="F32" s="30">
        <v>6.6199999999999995E-2</v>
      </c>
      <c r="G32" s="31">
        <v>37.93</v>
      </c>
      <c r="H32" s="31">
        <f t="shared" si="1"/>
        <v>2.5099999999999998</v>
      </c>
    </row>
    <row r="33" spans="1:8" ht="24" customHeight="1" x14ac:dyDescent="0.2">
      <c r="A33" s="190" t="s">
        <v>206</v>
      </c>
      <c r="B33" s="28" t="s">
        <v>242</v>
      </c>
      <c r="C33" s="190" t="s">
        <v>24</v>
      </c>
      <c r="D33" s="190" t="s">
        <v>243</v>
      </c>
      <c r="E33" s="29" t="s">
        <v>216</v>
      </c>
      <c r="F33" s="30">
        <v>1.06E-2</v>
      </c>
      <c r="G33" s="31">
        <v>38.42</v>
      </c>
      <c r="H33" s="31">
        <f t="shared" si="1"/>
        <v>0.4</v>
      </c>
    </row>
    <row r="34" spans="1:8" ht="38.25" x14ac:dyDescent="0.2">
      <c r="A34" s="191" t="s">
        <v>220</v>
      </c>
      <c r="B34" s="32" t="s">
        <v>244</v>
      </c>
      <c r="C34" s="191" t="s">
        <v>24</v>
      </c>
      <c r="D34" s="191" t="s">
        <v>245</v>
      </c>
      <c r="E34" s="33" t="s">
        <v>56</v>
      </c>
      <c r="F34" s="34">
        <v>6.6199999999999995E-2</v>
      </c>
      <c r="G34" s="35">
        <v>18</v>
      </c>
      <c r="H34" s="35">
        <f t="shared" si="1"/>
        <v>1.19</v>
      </c>
    </row>
    <row r="35" spans="1:8" x14ac:dyDescent="0.2">
      <c r="A35" s="228"/>
      <c r="B35" s="228"/>
      <c r="C35" s="228"/>
      <c r="D35" s="228"/>
      <c r="E35" s="228"/>
      <c r="F35" s="324" t="s">
        <v>212</v>
      </c>
      <c r="G35" s="324"/>
      <c r="H35" s="227">
        <f>H36-H24</f>
        <v>128.35480000000001</v>
      </c>
    </row>
    <row r="36" spans="1:8" ht="15" thickBot="1" x14ac:dyDescent="0.25">
      <c r="A36" s="228"/>
      <c r="B36" s="228"/>
      <c r="C36" s="228"/>
      <c r="D36" s="228"/>
      <c r="E36" s="228"/>
      <c r="F36" s="321" t="s">
        <v>213</v>
      </c>
      <c r="G36" s="321"/>
      <c r="H36" s="227">
        <f>H24*(1+28%)</f>
        <v>586.76480000000004</v>
      </c>
    </row>
    <row r="37" spans="1:8" ht="0.95" customHeight="1" thickTop="1" x14ac:dyDescent="0.2">
      <c r="A37" s="229"/>
      <c r="B37" s="229"/>
      <c r="C37" s="229"/>
      <c r="D37" s="229"/>
      <c r="E37" s="229"/>
      <c r="F37" s="229"/>
      <c r="G37" s="229"/>
      <c r="H37" s="229"/>
    </row>
    <row r="38" spans="1:8" ht="18" customHeight="1" x14ac:dyDescent="0.2">
      <c r="A38" s="188" t="s">
        <v>346</v>
      </c>
      <c r="B38" s="22" t="s">
        <v>5</v>
      </c>
      <c r="C38" s="188" t="s">
        <v>6</v>
      </c>
      <c r="D38" s="188" t="s">
        <v>7</v>
      </c>
      <c r="E38" s="23" t="s">
        <v>8</v>
      </c>
      <c r="F38" s="22" t="s">
        <v>9</v>
      </c>
      <c r="G38" s="22" t="s">
        <v>10</v>
      </c>
      <c r="H38" s="22" t="s">
        <v>12</v>
      </c>
    </row>
    <row r="39" spans="1:8" ht="24" customHeight="1" x14ac:dyDescent="0.2">
      <c r="A39" s="189" t="s">
        <v>205</v>
      </c>
      <c r="B39" s="24" t="s">
        <v>397</v>
      </c>
      <c r="C39" s="189" t="s">
        <v>18</v>
      </c>
      <c r="D39" s="189" t="s">
        <v>347</v>
      </c>
      <c r="E39" s="25" t="s">
        <v>39</v>
      </c>
      <c r="F39" s="26">
        <v>1</v>
      </c>
      <c r="G39" s="27">
        <f>H39</f>
        <v>43.589999999999996</v>
      </c>
      <c r="H39" s="27">
        <f>SUM(H40:H47)</f>
        <v>43.589999999999996</v>
      </c>
    </row>
    <row r="40" spans="1:8" ht="25.5" x14ac:dyDescent="0.2">
      <c r="A40" s="190" t="s">
        <v>206</v>
      </c>
      <c r="B40" s="28" t="s">
        <v>385</v>
      </c>
      <c r="C40" s="190" t="s">
        <v>24</v>
      </c>
      <c r="D40" s="190" t="s">
        <v>386</v>
      </c>
      <c r="E40" s="29" t="s">
        <v>42</v>
      </c>
      <c r="F40" s="30">
        <v>0.79</v>
      </c>
      <c r="G40" s="31">
        <v>12.82</v>
      </c>
      <c r="H40" s="31">
        <f>TRUNC(G40*F40,2)</f>
        <v>10.119999999999999</v>
      </c>
    </row>
    <row r="41" spans="1:8" ht="38.25" x14ac:dyDescent="0.2">
      <c r="A41" s="190" t="s">
        <v>206</v>
      </c>
      <c r="B41" s="28" t="s">
        <v>387</v>
      </c>
      <c r="C41" s="190" t="s">
        <v>24</v>
      </c>
      <c r="D41" s="190" t="s">
        <v>388</v>
      </c>
      <c r="E41" s="29" t="s">
        <v>216</v>
      </c>
      <c r="F41" s="30">
        <v>1.4E-2</v>
      </c>
      <c r="G41" s="31">
        <v>499.27</v>
      </c>
      <c r="H41" s="31">
        <f t="shared" ref="H41:H47" si="2">TRUNC(G41*F41,2)</f>
        <v>6.98</v>
      </c>
    </row>
    <row r="42" spans="1:8" ht="38.25" customHeight="1" x14ac:dyDescent="0.2">
      <c r="A42" s="190" t="s">
        <v>206</v>
      </c>
      <c r="B42" s="28" t="s">
        <v>389</v>
      </c>
      <c r="C42" s="190" t="s">
        <v>24</v>
      </c>
      <c r="D42" s="190" t="s">
        <v>390</v>
      </c>
      <c r="E42" s="29" t="s">
        <v>216</v>
      </c>
      <c r="F42" s="30">
        <v>1.9E-3</v>
      </c>
      <c r="G42" s="31">
        <v>447.05</v>
      </c>
      <c r="H42" s="31">
        <f t="shared" si="2"/>
        <v>0.84</v>
      </c>
    </row>
    <row r="43" spans="1:8" ht="24" customHeight="1" x14ac:dyDescent="0.2">
      <c r="A43" s="190" t="s">
        <v>206</v>
      </c>
      <c r="B43" s="28" t="s">
        <v>218</v>
      </c>
      <c r="C43" s="190" t="s">
        <v>24</v>
      </c>
      <c r="D43" s="190" t="s">
        <v>219</v>
      </c>
      <c r="E43" s="29" t="s">
        <v>209</v>
      </c>
      <c r="F43" s="30">
        <v>0.121</v>
      </c>
      <c r="G43" s="31">
        <v>16.02</v>
      </c>
      <c r="H43" s="31">
        <f t="shared" si="2"/>
        <v>1.93</v>
      </c>
    </row>
    <row r="44" spans="1:8" ht="24" customHeight="1" x14ac:dyDescent="0.2">
      <c r="A44" s="190" t="s">
        <v>206</v>
      </c>
      <c r="B44" s="28" t="s">
        <v>246</v>
      </c>
      <c r="C44" s="190" t="s">
        <v>24</v>
      </c>
      <c r="D44" s="190" t="s">
        <v>247</v>
      </c>
      <c r="E44" s="29" t="s">
        <v>209</v>
      </c>
      <c r="F44" s="30">
        <v>0.24299999999999999</v>
      </c>
      <c r="G44" s="31">
        <v>19.98</v>
      </c>
      <c r="H44" s="31">
        <f t="shared" si="2"/>
        <v>4.8499999999999996</v>
      </c>
    </row>
    <row r="45" spans="1:8" x14ac:dyDescent="0.2">
      <c r="A45" s="191" t="s">
        <v>220</v>
      </c>
      <c r="B45" s="32" t="s">
        <v>391</v>
      </c>
      <c r="C45" s="191" t="s">
        <v>24</v>
      </c>
      <c r="D45" s="191" t="s">
        <v>392</v>
      </c>
      <c r="E45" s="33" t="s">
        <v>56</v>
      </c>
      <c r="F45" s="34">
        <v>5.34</v>
      </c>
      <c r="G45" s="35">
        <v>2.33</v>
      </c>
      <c r="H45" s="35">
        <f t="shared" si="2"/>
        <v>12.44</v>
      </c>
    </row>
    <row r="46" spans="1:8" ht="24" customHeight="1" x14ac:dyDescent="0.2">
      <c r="A46" s="191" t="s">
        <v>220</v>
      </c>
      <c r="B46" s="32" t="s">
        <v>222</v>
      </c>
      <c r="C46" s="191" t="s">
        <v>24</v>
      </c>
      <c r="D46" s="191" t="s">
        <v>223</v>
      </c>
      <c r="E46" s="33" t="s">
        <v>39</v>
      </c>
      <c r="F46" s="34">
        <v>0.379</v>
      </c>
      <c r="G46" s="35">
        <v>9.0399999999999991</v>
      </c>
      <c r="H46" s="35">
        <f t="shared" si="2"/>
        <v>3.42</v>
      </c>
    </row>
    <row r="47" spans="1:8" ht="24" customHeight="1" x14ac:dyDescent="0.2">
      <c r="A47" s="191" t="s">
        <v>220</v>
      </c>
      <c r="B47" s="32" t="s">
        <v>393</v>
      </c>
      <c r="C47" s="191" t="s">
        <v>24</v>
      </c>
      <c r="D47" s="191" t="s">
        <v>394</v>
      </c>
      <c r="E47" s="33" t="s">
        <v>39</v>
      </c>
      <c r="F47" s="34">
        <v>0.19</v>
      </c>
      <c r="G47" s="35">
        <v>15.89</v>
      </c>
      <c r="H47" s="35">
        <f t="shared" si="2"/>
        <v>3.01</v>
      </c>
    </row>
    <row r="48" spans="1:8" x14ac:dyDescent="0.2">
      <c r="A48" s="228"/>
      <c r="B48" s="228"/>
      <c r="C48" s="228"/>
      <c r="D48" s="228"/>
      <c r="E48" s="228"/>
      <c r="F48" s="324" t="s">
        <v>212</v>
      </c>
      <c r="G48" s="324"/>
      <c r="H48" s="227">
        <f>H49-H39</f>
        <v>12.205199999999998</v>
      </c>
    </row>
    <row r="49" spans="1:8" ht="15" thickBot="1" x14ac:dyDescent="0.25">
      <c r="A49" s="228"/>
      <c r="B49" s="228"/>
      <c r="C49" s="228"/>
      <c r="D49" s="228"/>
      <c r="E49" s="228"/>
      <c r="F49" s="321" t="s">
        <v>213</v>
      </c>
      <c r="G49" s="321"/>
      <c r="H49" s="227">
        <f>H39*(1+28%)</f>
        <v>55.795199999999994</v>
      </c>
    </row>
    <row r="50" spans="1:8" ht="0.95" customHeight="1" thickTop="1" x14ac:dyDescent="0.2">
      <c r="A50" s="229"/>
      <c r="B50" s="229"/>
      <c r="C50" s="229"/>
      <c r="D50" s="229"/>
      <c r="E50" s="229"/>
      <c r="F50" s="229"/>
      <c r="G50" s="229"/>
      <c r="H50" s="229"/>
    </row>
    <row r="51" spans="1:8" ht="15" x14ac:dyDescent="0.2">
      <c r="A51" s="188" t="s">
        <v>186</v>
      </c>
      <c r="B51" s="22" t="s">
        <v>5</v>
      </c>
      <c r="C51" s="188" t="s">
        <v>6</v>
      </c>
      <c r="D51" s="188" t="s">
        <v>7</v>
      </c>
      <c r="E51" s="23" t="s">
        <v>8</v>
      </c>
      <c r="F51" s="22" t="s">
        <v>9</v>
      </c>
      <c r="G51" s="22" t="s">
        <v>10</v>
      </c>
      <c r="H51" s="22" t="s">
        <v>12</v>
      </c>
    </row>
    <row r="52" spans="1:8" ht="24" customHeight="1" x14ac:dyDescent="0.2">
      <c r="A52" s="189" t="s">
        <v>205</v>
      </c>
      <c r="B52" s="24" t="s">
        <v>398</v>
      </c>
      <c r="C52" s="189" t="s">
        <v>18</v>
      </c>
      <c r="D52" s="189" t="s">
        <v>38</v>
      </c>
      <c r="E52" s="25" t="s">
        <v>39</v>
      </c>
      <c r="F52" s="26">
        <v>1</v>
      </c>
      <c r="G52" s="27">
        <f>H52</f>
        <v>90.929999999999993</v>
      </c>
      <c r="H52" s="27">
        <f>SUM(H53:H57)</f>
        <v>90.929999999999993</v>
      </c>
    </row>
    <row r="53" spans="1:8" ht="24" customHeight="1" x14ac:dyDescent="0.2">
      <c r="A53" s="190" t="s">
        <v>206</v>
      </c>
      <c r="B53" s="28" t="s">
        <v>218</v>
      </c>
      <c r="C53" s="190" t="s">
        <v>24</v>
      </c>
      <c r="D53" s="190" t="s">
        <v>219</v>
      </c>
      <c r="E53" s="29" t="s">
        <v>209</v>
      </c>
      <c r="F53" s="30">
        <v>1.1229</v>
      </c>
      <c r="G53" s="31">
        <v>16.02</v>
      </c>
      <c r="H53" s="31">
        <f>TRUNC(G53*F53,2)</f>
        <v>17.98</v>
      </c>
    </row>
    <row r="54" spans="1:8" ht="24" customHeight="1" x14ac:dyDescent="0.2">
      <c r="A54" s="190" t="s">
        <v>206</v>
      </c>
      <c r="B54" s="28" t="s">
        <v>246</v>
      </c>
      <c r="C54" s="190" t="s">
        <v>24</v>
      </c>
      <c r="D54" s="190" t="s">
        <v>247</v>
      </c>
      <c r="E54" s="29" t="s">
        <v>209</v>
      </c>
      <c r="F54" s="30">
        <v>1.1229</v>
      </c>
      <c r="G54" s="31">
        <v>19.98</v>
      </c>
      <c r="H54" s="31">
        <f t="shared" ref="H54:H57" si="3">TRUNC(G54*F54,2)</f>
        <v>22.43</v>
      </c>
    </row>
    <row r="55" spans="1:8" ht="24" customHeight="1" x14ac:dyDescent="0.2">
      <c r="A55" s="191" t="s">
        <v>220</v>
      </c>
      <c r="B55" s="32" t="s">
        <v>40</v>
      </c>
      <c r="C55" s="191" t="s">
        <v>24</v>
      </c>
      <c r="D55" s="191" t="s">
        <v>41</v>
      </c>
      <c r="E55" s="33" t="s">
        <v>42</v>
      </c>
      <c r="F55" s="34">
        <v>5.8599999999999999E-2</v>
      </c>
      <c r="G55" s="35">
        <v>20</v>
      </c>
      <c r="H55" s="35">
        <f t="shared" si="3"/>
        <v>1.17</v>
      </c>
    </row>
    <row r="56" spans="1:8" ht="24" customHeight="1" x14ac:dyDescent="0.2">
      <c r="A56" s="191" t="s">
        <v>220</v>
      </c>
      <c r="B56" s="32" t="s">
        <v>248</v>
      </c>
      <c r="C56" s="191" t="s">
        <v>24</v>
      </c>
      <c r="D56" s="191" t="s">
        <v>249</v>
      </c>
      <c r="E56" s="33" t="s">
        <v>26</v>
      </c>
      <c r="F56" s="34">
        <v>1.5</v>
      </c>
      <c r="G56" s="35">
        <v>15.64</v>
      </c>
      <c r="H56" s="35">
        <f t="shared" si="3"/>
        <v>23.46</v>
      </c>
    </row>
    <row r="57" spans="1:8" ht="24" customHeight="1" x14ac:dyDescent="0.2">
      <c r="A57" s="191" t="s">
        <v>220</v>
      </c>
      <c r="B57" s="32" t="s">
        <v>250</v>
      </c>
      <c r="C57" s="191" t="s">
        <v>24</v>
      </c>
      <c r="D57" s="191" t="s">
        <v>251</v>
      </c>
      <c r="E57" s="33" t="s">
        <v>56</v>
      </c>
      <c r="F57" s="34">
        <v>0.3846</v>
      </c>
      <c r="G57" s="35">
        <v>67.34</v>
      </c>
      <c r="H57" s="35">
        <f t="shared" si="3"/>
        <v>25.89</v>
      </c>
    </row>
    <row r="58" spans="1:8" x14ac:dyDescent="0.2">
      <c r="A58" s="228"/>
      <c r="B58" s="228"/>
      <c r="C58" s="228"/>
      <c r="D58" s="228"/>
      <c r="E58" s="228"/>
      <c r="F58" s="324" t="s">
        <v>212</v>
      </c>
      <c r="G58" s="324"/>
      <c r="H58" s="227">
        <f>H59-H52</f>
        <v>25.460400000000007</v>
      </c>
    </row>
    <row r="59" spans="1:8" ht="15" thickBot="1" x14ac:dyDescent="0.25">
      <c r="A59" s="228"/>
      <c r="B59" s="228"/>
      <c r="C59" s="228"/>
      <c r="D59" s="228"/>
      <c r="E59" s="228"/>
      <c r="F59" s="321" t="s">
        <v>213</v>
      </c>
      <c r="G59" s="321"/>
      <c r="H59" s="227">
        <f>H52*(1+28%)</f>
        <v>116.3904</v>
      </c>
    </row>
    <row r="60" spans="1:8" ht="0.95" customHeight="1" thickTop="1" x14ac:dyDescent="0.2">
      <c r="A60" s="229"/>
      <c r="B60" s="229"/>
      <c r="C60" s="229"/>
      <c r="D60" s="229"/>
      <c r="E60" s="229"/>
      <c r="F60" s="229"/>
      <c r="G60" s="229"/>
      <c r="H60" s="229"/>
    </row>
    <row r="61" spans="1:8" ht="15" x14ac:dyDescent="0.2">
      <c r="A61" s="188" t="s">
        <v>187</v>
      </c>
      <c r="B61" s="22" t="s">
        <v>5</v>
      </c>
      <c r="C61" s="188" t="s">
        <v>6</v>
      </c>
      <c r="D61" s="188" t="s">
        <v>7</v>
      </c>
      <c r="E61" s="23" t="s">
        <v>8</v>
      </c>
      <c r="F61" s="22" t="s">
        <v>9</v>
      </c>
      <c r="G61" s="22" t="s">
        <v>10</v>
      </c>
      <c r="H61" s="22" t="s">
        <v>12</v>
      </c>
    </row>
    <row r="62" spans="1:8" ht="25.5" customHeight="1" x14ac:dyDescent="0.2">
      <c r="A62" s="189" t="s">
        <v>205</v>
      </c>
      <c r="B62" s="24" t="s">
        <v>399</v>
      </c>
      <c r="C62" s="189" t="s">
        <v>18</v>
      </c>
      <c r="D62" s="189" t="s">
        <v>488</v>
      </c>
      <c r="E62" s="25" t="s">
        <v>26</v>
      </c>
      <c r="F62" s="26">
        <v>1</v>
      </c>
      <c r="G62" s="27">
        <f>H62</f>
        <v>92.230000000000018</v>
      </c>
      <c r="H62" s="27">
        <f>SUM(H63:H68)</f>
        <v>92.230000000000018</v>
      </c>
    </row>
    <row r="63" spans="1:8" ht="38.25" x14ac:dyDescent="0.2">
      <c r="A63" s="190" t="s">
        <v>206</v>
      </c>
      <c r="B63" s="28" t="s">
        <v>214</v>
      </c>
      <c r="C63" s="190" t="s">
        <v>24</v>
      </c>
      <c r="D63" s="190" t="s">
        <v>215</v>
      </c>
      <c r="E63" s="29" t="s">
        <v>216</v>
      </c>
      <c r="F63" s="30">
        <v>4.4999999999999997E-3</v>
      </c>
      <c r="G63" s="31">
        <v>340.2</v>
      </c>
      <c r="H63" s="31">
        <f>TRUNC(G63*F63,2)</f>
        <v>1.53</v>
      </c>
    </row>
    <row r="64" spans="1:8" ht="24" customHeight="1" x14ac:dyDescent="0.2">
      <c r="A64" s="190" t="s">
        <v>206</v>
      </c>
      <c r="B64" s="28" t="s">
        <v>252</v>
      </c>
      <c r="C64" s="190" t="s">
        <v>24</v>
      </c>
      <c r="D64" s="190" t="s">
        <v>253</v>
      </c>
      <c r="E64" s="29" t="s">
        <v>209</v>
      </c>
      <c r="F64" s="30">
        <v>0.97740000000000005</v>
      </c>
      <c r="G64" s="31">
        <v>19.86</v>
      </c>
      <c r="H64" s="31">
        <f t="shared" ref="H64:H68" si="4">TRUNC(G64*F64,2)</f>
        <v>19.41</v>
      </c>
    </row>
    <row r="65" spans="1:8" ht="24" customHeight="1" x14ac:dyDescent="0.2">
      <c r="A65" s="190" t="s">
        <v>206</v>
      </c>
      <c r="B65" s="28" t="s">
        <v>218</v>
      </c>
      <c r="C65" s="190" t="s">
        <v>24</v>
      </c>
      <c r="D65" s="190" t="s">
        <v>219</v>
      </c>
      <c r="E65" s="29" t="s">
        <v>209</v>
      </c>
      <c r="F65" s="30">
        <v>0.99739999999999995</v>
      </c>
      <c r="G65" s="31">
        <v>16.02</v>
      </c>
      <c r="H65" s="31">
        <f t="shared" si="4"/>
        <v>15.97</v>
      </c>
    </row>
    <row r="66" spans="1:8" ht="25.5" x14ac:dyDescent="0.2">
      <c r="A66" s="191" t="s">
        <v>220</v>
      </c>
      <c r="B66" s="32" t="s">
        <v>40</v>
      </c>
      <c r="C66" s="191" t="s">
        <v>24</v>
      </c>
      <c r="D66" s="191" t="s">
        <v>41</v>
      </c>
      <c r="E66" s="33" t="s">
        <v>42</v>
      </c>
      <c r="F66" s="34">
        <v>1.59</v>
      </c>
      <c r="G66" s="35">
        <v>20</v>
      </c>
      <c r="H66" s="35">
        <f t="shared" si="4"/>
        <v>31.8</v>
      </c>
    </row>
    <row r="67" spans="1:8" x14ac:dyDescent="0.2">
      <c r="A67" s="191" t="s">
        <v>220</v>
      </c>
      <c r="B67" s="32" t="s">
        <v>254</v>
      </c>
      <c r="C67" s="191" t="s">
        <v>24</v>
      </c>
      <c r="D67" s="191" t="s">
        <v>255</v>
      </c>
      <c r="E67" s="33" t="s">
        <v>42</v>
      </c>
      <c r="F67" s="34">
        <v>2.5000000000000001E-3</v>
      </c>
      <c r="G67" s="35">
        <v>27.7</v>
      </c>
      <c r="H67" s="35">
        <f t="shared" si="4"/>
        <v>0.06</v>
      </c>
    </row>
    <row r="68" spans="1:8" ht="24" customHeight="1" x14ac:dyDescent="0.2">
      <c r="A68" s="191" t="s">
        <v>220</v>
      </c>
      <c r="B68" s="32" t="s">
        <v>248</v>
      </c>
      <c r="C68" s="191" t="s">
        <v>24</v>
      </c>
      <c r="D68" s="191" t="s">
        <v>249</v>
      </c>
      <c r="E68" s="33" t="s">
        <v>26</v>
      </c>
      <c r="F68" s="34">
        <v>1.5</v>
      </c>
      <c r="G68" s="35">
        <v>15.64</v>
      </c>
      <c r="H68" s="35">
        <f t="shared" si="4"/>
        <v>23.46</v>
      </c>
    </row>
    <row r="69" spans="1:8" x14ac:dyDescent="0.2">
      <c r="A69" s="228"/>
      <c r="B69" s="228"/>
      <c r="C69" s="228"/>
      <c r="D69" s="228"/>
      <c r="E69" s="228"/>
      <c r="F69" s="324" t="s">
        <v>212</v>
      </c>
      <c r="G69" s="324"/>
      <c r="H69" s="227">
        <f>H70-H62</f>
        <v>25.824400000000011</v>
      </c>
    </row>
    <row r="70" spans="1:8" ht="15" thickBot="1" x14ac:dyDescent="0.25">
      <c r="A70" s="228"/>
      <c r="B70" s="228"/>
      <c r="C70" s="228"/>
      <c r="D70" s="228"/>
      <c r="E70" s="228"/>
      <c r="F70" s="321" t="s">
        <v>213</v>
      </c>
      <c r="G70" s="321"/>
      <c r="H70" s="227">
        <f>H62*(1+28%)</f>
        <v>118.05440000000003</v>
      </c>
    </row>
    <row r="71" spans="1:8" ht="0.95" customHeight="1" thickTop="1" x14ac:dyDescent="0.2">
      <c r="A71" s="229"/>
      <c r="B71" s="229"/>
      <c r="C71" s="229"/>
      <c r="D71" s="229"/>
      <c r="E71" s="229"/>
      <c r="F71" s="229"/>
      <c r="G71" s="229"/>
      <c r="H71" s="229"/>
    </row>
    <row r="72" spans="1:8" ht="15" x14ac:dyDescent="0.2">
      <c r="A72" s="188" t="s">
        <v>360</v>
      </c>
      <c r="B72" s="22" t="s">
        <v>5</v>
      </c>
      <c r="C72" s="188" t="s">
        <v>6</v>
      </c>
      <c r="D72" s="188" t="s">
        <v>7</v>
      </c>
      <c r="E72" s="23" t="s">
        <v>8</v>
      </c>
      <c r="F72" s="22" t="s">
        <v>9</v>
      </c>
      <c r="G72" s="22" t="s">
        <v>10</v>
      </c>
      <c r="H72" s="22" t="s">
        <v>12</v>
      </c>
    </row>
    <row r="73" spans="1:8" x14ac:dyDescent="0.2">
      <c r="A73" s="189" t="s">
        <v>205</v>
      </c>
      <c r="B73" s="24" t="s">
        <v>400</v>
      </c>
      <c r="C73" s="189" t="s">
        <v>18</v>
      </c>
      <c r="D73" s="189" t="s">
        <v>43</v>
      </c>
      <c r="E73" s="25" t="s">
        <v>44</v>
      </c>
      <c r="F73" s="26">
        <v>1</v>
      </c>
      <c r="G73" s="27">
        <f>H73</f>
        <v>178.44</v>
      </c>
      <c r="H73" s="27">
        <f>SUM(H74:H77)</f>
        <v>178.44</v>
      </c>
    </row>
    <row r="74" spans="1:8" ht="24" customHeight="1" x14ac:dyDescent="0.2">
      <c r="A74" s="190" t="s">
        <v>206</v>
      </c>
      <c r="B74" s="28" t="s">
        <v>86</v>
      </c>
      <c r="C74" s="190" t="s">
        <v>24</v>
      </c>
      <c r="D74" s="190" t="s">
        <v>87</v>
      </c>
      <c r="E74" s="29" t="s">
        <v>26</v>
      </c>
      <c r="F74" s="30">
        <v>2</v>
      </c>
      <c r="G74" s="31">
        <v>7.28</v>
      </c>
      <c r="H74" s="31">
        <f t="shared" ref="H74:H77" si="5">TRUNC(G74*F74,2)</f>
        <v>14.56</v>
      </c>
    </row>
    <row r="75" spans="1:8" ht="24" customHeight="1" x14ac:dyDescent="0.2">
      <c r="A75" s="190" t="s">
        <v>206</v>
      </c>
      <c r="B75" s="28" t="s">
        <v>256</v>
      </c>
      <c r="C75" s="190" t="s">
        <v>24</v>
      </c>
      <c r="D75" s="190" t="s">
        <v>257</v>
      </c>
      <c r="E75" s="29" t="s">
        <v>26</v>
      </c>
      <c r="F75" s="30">
        <v>2</v>
      </c>
      <c r="G75" s="31">
        <v>24.7</v>
      </c>
      <c r="H75" s="31">
        <f t="shared" si="5"/>
        <v>49.4</v>
      </c>
    </row>
    <row r="76" spans="1:8" ht="38.25" x14ac:dyDescent="0.2">
      <c r="A76" s="190" t="s">
        <v>206</v>
      </c>
      <c r="B76" s="28" t="s">
        <v>258</v>
      </c>
      <c r="C76" s="190" t="s">
        <v>24</v>
      </c>
      <c r="D76" s="190" t="s">
        <v>259</v>
      </c>
      <c r="E76" s="29" t="s">
        <v>26</v>
      </c>
      <c r="F76" s="30">
        <v>4</v>
      </c>
      <c r="G76" s="31">
        <v>17.829999999999998</v>
      </c>
      <c r="H76" s="31">
        <f t="shared" si="5"/>
        <v>71.319999999999993</v>
      </c>
    </row>
    <row r="77" spans="1:8" ht="38.25" x14ac:dyDescent="0.2">
      <c r="A77" s="190" t="s">
        <v>206</v>
      </c>
      <c r="B77" s="28" t="s">
        <v>260</v>
      </c>
      <c r="C77" s="190" t="s">
        <v>24</v>
      </c>
      <c r="D77" s="190" t="s">
        <v>261</v>
      </c>
      <c r="E77" s="29" t="s">
        <v>26</v>
      </c>
      <c r="F77" s="30">
        <v>2</v>
      </c>
      <c r="G77" s="31">
        <v>21.58</v>
      </c>
      <c r="H77" s="31">
        <f t="shared" si="5"/>
        <v>43.16</v>
      </c>
    </row>
    <row r="78" spans="1:8" x14ac:dyDescent="0.2">
      <c r="A78" s="228"/>
      <c r="B78" s="228"/>
      <c r="C78" s="228"/>
      <c r="D78" s="228"/>
      <c r="E78" s="228"/>
      <c r="F78" s="324" t="s">
        <v>212</v>
      </c>
      <c r="G78" s="324"/>
      <c r="H78" s="227">
        <f>H79-H73</f>
        <v>49.963200000000001</v>
      </c>
    </row>
    <row r="79" spans="1:8" ht="15" thickBot="1" x14ac:dyDescent="0.25">
      <c r="A79" s="228"/>
      <c r="B79" s="228"/>
      <c r="C79" s="228"/>
      <c r="D79" s="228"/>
      <c r="E79" s="228"/>
      <c r="F79" s="321" t="s">
        <v>213</v>
      </c>
      <c r="G79" s="321"/>
      <c r="H79" s="227">
        <f>H73*(1+28%)</f>
        <v>228.4032</v>
      </c>
    </row>
    <row r="80" spans="1:8" ht="0.95" customHeight="1" thickTop="1" x14ac:dyDescent="0.2">
      <c r="A80" s="229"/>
      <c r="B80" s="229"/>
      <c r="C80" s="229"/>
      <c r="D80" s="229"/>
      <c r="E80" s="229"/>
      <c r="F80" s="229"/>
      <c r="G80" s="229"/>
      <c r="H80" s="229"/>
    </row>
    <row r="81" spans="1:8" ht="15" x14ac:dyDescent="0.2">
      <c r="A81" s="188" t="s">
        <v>361</v>
      </c>
      <c r="B81" s="22" t="s">
        <v>5</v>
      </c>
      <c r="C81" s="188" t="s">
        <v>6</v>
      </c>
      <c r="D81" s="188" t="s">
        <v>7</v>
      </c>
      <c r="E81" s="23" t="s">
        <v>8</v>
      </c>
      <c r="F81" s="22" t="s">
        <v>9</v>
      </c>
      <c r="G81" s="22" t="s">
        <v>10</v>
      </c>
      <c r="H81" s="22" t="s">
        <v>12</v>
      </c>
    </row>
    <row r="82" spans="1:8" ht="24" customHeight="1" x14ac:dyDescent="0.2">
      <c r="A82" s="189" t="s">
        <v>205</v>
      </c>
      <c r="B82" s="24" t="s">
        <v>432</v>
      </c>
      <c r="C82" s="189" t="s">
        <v>18</v>
      </c>
      <c r="D82" s="189" t="s">
        <v>45</v>
      </c>
      <c r="E82" s="25" t="s">
        <v>44</v>
      </c>
      <c r="F82" s="26">
        <v>1</v>
      </c>
      <c r="G82" s="27">
        <f>H82</f>
        <v>344.96</v>
      </c>
      <c r="H82" s="27">
        <f>SUM(H83:H88)</f>
        <v>344.96</v>
      </c>
    </row>
    <row r="83" spans="1:8" ht="38.25" x14ac:dyDescent="0.2">
      <c r="A83" s="190" t="s">
        <v>206</v>
      </c>
      <c r="B83" s="28" t="s">
        <v>262</v>
      </c>
      <c r="C83" s="190" t="s">
        <v>24</v>
      </c>
      <c r="D83" s="190" t="s">
        <v>263</v>
      </c>
      <c r="E83" s="29" t="s">
        <v>26</v>
      </c>
      <c r="F83" s="30">
        <v>2</v>
      </c>
      <c r="G83" s="31">
        <v>7.96</v>
      </c>
      <c r="H83" s="31">
        <f t="shared" ref="H83:H88" si="6">TRUNC(G83*F83,2)</f>
        <v>15.92</v>
      </c>
    </row>
    <row r="84" spans="1:8" ht="38.25" x14ac:dyDescent="0.2">
      <c r="A84" s="190" t="s">
        <v>206</v>
      </c>
      <c r="B84" s="28" t="s">
        <v>264</v>
      </c>
      <c r="C84" s="190" t="s">
        <v>24</v>
      </c>
      <c r="D84" s="190" t="s">
        <v>265</v>
      </c>
      <c r="E84" s="29" t="s">
        <v>26</v>
      </c>
      <c r="F84" s="30">
        <v>2</v>
      </c>
      <c r="G84" s="31">
        <v>10.79</v>
      </c>
      <c r="H84" s="31">
        <f t="shared" si="6"/>
        <v>21.58</v>
      </c>
    </row>
    <row r="85" spans="1:8" ht="24" customHeight="1" x14ac:dyDescent="0.2">
      <c r="A85" s="190" t="s">
        <v>206</v>
      </c>
      <c r="B85" s="28" t="s">
        <v>218</v>
      </c>
      <c r="C85" s="190" t="s">
        <v>24</v>
      </c>
      <c r="D85" s="190" t="s">
        <v>219</v>
      </c>
      <c r="E85" s="29" t="s">
        <v>209</v>
      </c>
      <c r="F85" s="30">
        <v>0.35</v>
      </c>
      <c r="G85" s="31">
        <v>16.02</v>
      </c>
      <c r="H85" s="31">
        <f t="shared" si="6"/>
        <v>5.6</v>
      </c>
    </row>
    <row r="86" spans="1:8" ht="11.25" customHeight="1" x14ac:dyDescent="0.2">
      <c r="A86" s="190" t="s">
        <v>206</v>
      </c>
      <c r="B86" s="28" t="s">
        <v>266</v>
      </c>
      <c r="C86" s="190" t="s">
        <v>24</v>
      </c>
      <c r="D86" s="190" t="s">
        <v>267</v>
      </c>
      <c r="E86" s="29" t="s">
        <v>209</v>
      </c>
      <c r="F86" s="30">
        <v>0.02</v>
      </c>
      <c r="G86" s="31">
        <v>20.68</v>
      </c>
      <c r="H86" s="31">
        <f t="shared" si="6"/>
        <v>0.41</v>
      </c>
    </row>
    <row r="87" spans="1:8" x14ac:dyDescent="0.2">
      <c r="A87" s="191" t="s">
        <v>220</v>
      </c>
      <c r="B87" s="32" t="s">
        <v>503</v>
      </c>
      <c r="C87" s="191" t="s">
        <v>18</v>
      </c>
      <c r="D87" s="191" t="s">
        <v>490</v>
      </c>
      <c r="E87" s="33" t="s">
        <v>44</v>
      </c>
      <c r="F87" s="34">
        <v>1.1200000000000001</v>
      </c>
      <c r="G87" s="35">
        <f>H146</f>
        <v>267.92</v>
      </c>
      <c r="H87" s="35">
        <f t="shared" si="6"/>
        <v>300.07</v>
      </c>
    </row>
    <row r="88" spans="1:8" x14ac:dyDescent="0.2">
      <c r="A88" s="191" t="s">
        <v>220</v>
      </c>
      <c r="B88" s="32" t="s">
        <v>254</v>
      </c>
      <c r="C88" s="191" t="s">
        <v>24</v>
      </c>
      <c r="D88" s="191" t="s">
        <v>255</v>
      </c>
      <c r="E88" s="33" t="s">
        <v>42</v>
      </c>
      <c r="F88" s="34">
        <v>0.05</v>
      </c>
      <c r="G88" s="35">
        <v>27.7</v>
      </c>
      <c r="H88" s="35">
        <f t="shared" si="6"/>
        <v>1.38</v>
      </c>
    </row>
    <row r="89" spans="1:8" x14ac:dyDescent="0.2">
      <c r="A89" s="228"/>
      <c r="B89" s="228"/>
      <c r="C89" s="228"/>
      <c r="D89" s="228"/>
      <c r="E89" s="228"/>
      <c r="F89" s="324" t="s">
        <v>212</v>
      </c>
      <c r="G89" s="324"/>
      <c r="H89" s="227">
        <f>H90-H82</f>
        <v>96.588799999999992</v>
      </c>
    </row>
    <row r="90" spans="1:8" ht="15" thickBot="1" x14ac:dyDescent="0.25">
      <c r="A90" s="228"/>
      <c r="B90" s="228"/>
      <c r="C90" s="228"/>
      <c r="D90" s="228"/>
      <c r="E90" s="228"/>
      <c r="F90" s="321" t="s">
        <v>213</v>
      </c>
      <c r="G90" s="321"/>
      <c r="H90" s="227">
        <f>H82*(1+28%)</f>
        <v>441.54879999999997</v>
      </c>
    </row>
    <row r="91" spans="1:8" ht="0.95" customHeight="1" thickTop="1" x14ac:dyDescent="0.2">
      <c r="A91" s="229"/>
      <c r="B91" s="229"/>
      <c r="C91" s="229"/>
      <c r="D91" s="229"/>
      <c r="E91" s="229"/>
      <c r="F91" s="229"/>
      <c r="G91" s="229"/>
      <c r="H91" s="229"/>
    </row>
    <row r="92" spans="1:8" s="247" customFormat="1" ht="15" x14ac:dyDescent="0.2">
      <c r="A92" s="244" t="s">
        <v>361</v>
      </c>
      <c r="B92" s="22" t="s">
        <v>5</v>
      </c>
      <c r="C92" s="244" t="s">
        <v>6</v>
      </c>
      <c r="D92" s="244" t="s">
        <v>7</v>
      </c>
      <c r="E92" s="23" t="s">
        <v>8</v>
      </c>
      <c r="F92" s="22" t="s">
        <v>9</v>
      </c>
      <c r="G92" s="22" t="s">
        <v>10</v>
      </c>
      <c r="H92" s="22" t="s">
        <v>12</v>
      </c>
    </row>
    <row r="93" spans="1:8" s="247" customFormat="1" ht="24" customHeight="1" x14ac:dyDescent="0.2">
      <c r="A93" s="245" t="s">
        <v>205</v>
      </c>
      <c r="B93" s="24" t="s">
        <v>433</v>
      </c>
      <c r="C93" s="245" t="s">
        <v>18</v>
      </c>
      <c r="D93" s="245" t="s">
        <v>78</v>
      </c>
      <c r="E93" s="25" t="s">
        <v>26</v>
      </c>
      <c r="F93" s="26">
        <v>1</v>
      </c>
      <c r="G93" s="27">
        <f>H93</f>
        <v>736.62</v>
      </c>
      <c r="H93" s="27">
        <f>SUM(H94:H97)</f>
        <v>736.62</v>
      </c>
    </row>
    <row r="94" spans="1:8" s="247" customFormat="1" ht="25.5" x14ac:dyDescent="0.2">
      <c r="A94" s="246" t="s">
        <v>206</v>
      </c>
      <c r="B94" s="28">
        <v>88316</v>
      </c>
      <c r="C94" s="246" t="s">
        <v>24</v>
      </c>
      <c r="D94" s="246" t="s">
        <v>435</v>
      </c>
      <c r="E94" s="29" t="s">
        <v>209</v>
      </c>
      <c r="F94" s="30">
        <v>0.4</v>
      </c>
      <c r="G94" s="31">
        <v>16.02</v>
      </c>
      <c r="H94" s="31">
        <f t="shared" ref="H94:H97" si="7">TRUNC(G94*F94,2)</f>
        <v>6.4</v>
      </c>
    </row>
    <row r="95" spans="1:8" s="247" customFormat="1" ht="25.5" x14ac:dyDescent="0.2">
      <c r="A95" s="246" t="s">
        <v>206</v>
      </c>
      <c r="B95" s="28">
        <v>88325</v>
      </c>
      <c r="C95" s="246" t="s">
        <v>24</v>
      </c>
      <c r="D95" s="246" t="s">
        <v>436</v>
      </c>
      <c r="E95" s="29" t="s">
        <v>209</v>
      </c>
      <c r="F95" s="30">
        <v>2</v>
      </c>
      <c r="G95" s="31">
        <v>17.829999999999998</v>
      </c>
      <c r="H95" s="31">
        <f t="shared" si="7"/>
        <v>35.659999999999997</v>
      </c>
    </row>
    <row r="96" spans="1:8" s="247" customFormat="1" x14ac:dyDescent="0.2">
      <c r="A96" s="242" t="s">
        <v>220</v>
      </c>
      <c r="B96" s="32">
        <v>11186</v>
      </c>
      <c r="C96" s="242" t="s">
        <v>24</v>
      </c>
      <c r="D96" s="242" t="s">
        <v>437</v>
      </c>
      <c r="E96" s="33" t="s">
        <v>26</v>
      </c>
      <c r="F96" s="32">
        <v>1</v>
      </c>
      <c r="G96" s="32">
        <v>678.36</v>
      </c>
      <c r="H96" s="32">
        <f t="shared" si="7"/>
        <v>678.36</v>
      </c>
    </row>
    <row r="97" spans="1:8" s="247" customFormat="1" ht="24" customHeight="1" x14ac:dyDescent="0.2">
      <c r="A97" s="242" t="s">
        <v>220</v>
      </c>
      <c r="B97" s="32">
        <v>442</v>
      </c>
      <c r="C97" s="242" t="s">
        <v>24</v>
      </c>
      <c r="D97" s="242" t="s">
        <v>268</v>
      </c>
      <c r="E97" s="33" t="s">
        <v>56</v>
      </c>
      <c r="F97" s="32">
        <v>4</v>
      </c>
      <c r="G97" s="32">
        <v>4.05</v>
      </c>
      <c r="H97" s="32">
        <f t="shared" si="7"/>
        <v>16.2</v>
      </c>
    </row>
    <row r="98" spans="1:8" s="247" customFormat="1" x14ac:dyDescent="0.2">
      <c r="A98" s="243"/>
      <c r="B98" s="243"/>
      <c r="C98" s="243"/>
      <c r="D98" s="243"/>
      <c r="E98" s="243"/>
      <c r="F98" s="324" t="s">
        <v>212</v>
      </c>
      <c r="G98" s="324"/>
      <c r="H98" s="227">
        <f>H99-H93</f>
        <v>206.25360000000001</v>
      </c>
    </row>
    <row r="99" spans="1:8" s="247" customFormat="1" ht="15" customHeight="1" thickBot="1" x14ac:dyDescent="0.25">
      <c r="A99" s="317" t="s">
        <v>434</v>
      </c>
      <c r="B99" s="317"/>
      <c r="C99" s="317"/>
      <c r="D99" s="317"/>
      <c r="E99" s="317"/>
      <c r="F99" s="329" t="s">
        <v>213</v>
      </c>
      <c r="G99" s="329"/>
      <c r="H99" s="262">
        <f>H93*(1+28%)</f>
        <v>942.87360000000001</v>
      </c>
    </row>
    <row r="100" spans="1:8" ht="15" x14ac:dyDescent="0.2">
      <c r="A100" s="188" t="s">
        <v>269</v>
      </c>
      <c r="B100" s="261" t="s">
        <v>5</v>
      </c>
      <c r="C100" s="263" t="s">
        <v>6</v>
      </c>
      <c r="D100" s="263" t="s">
        <v>7</v>
      </c>
      <c r="E100" s="264" t="s">
        <v>8</v>
      </c>
      <c r="F100" s="261" t="s">
        <v>9</v>
      </c>
      <c r="G100" s="261" t="s">
        <v>10</v>
      </c>
      <c r="H100" s="261" t="s">
        <v>12</v>
      </c>
    </row>
    <row r="101" spans="1:8" ht="25.5" x14ac:dyDescent="0.2">
      <c r="A101" s="189" t="s">
        <v>205</v>
      </c>
      <c r="B101" s="24" t="s">
        <v>450</v>
      </c>
      <c r="C101" s="189" t="s">
        <v>18</v>
      </c>
      <c r="D101" s="189" t="s">
        <v>451</v>
      </c>
      <c r="E101" s="25" t="s">
        <v>110</v>
      </c>
      <c r="F101" s="26">
        <v>1</v>
      </c>
      <c r="G101" s="27">
        <f>H101</f>
        <v>14.04</v>
      </c>
      <c r="H101" s="27">
        <f>SUM(H102:H104)</f>
        <v>14.04</v>
      </c>
    </row>
    <row r="102" spans="1:8" ht="51" customHeight="1" x14ac:dyDescent="0.2">
      <c r="A102" s="190" t="s">
        <v>206</v>
      </c>
      <c r="B102" s="28">
        <v>87329</v>
      </c>
      <c r="C102" s="190" t="s">
        <v>24</v>
      </c>
      <c r="D102" s="190" t="s">
        <v>452</v>
      </c>
      <c r="E102" s="29" t="s">
        <v>216</v>
      </c>
      <c r="F102" s="30">
        <v>2.5000000000000001E-3</v>
      </c>
      <c r="G102" s="31">
        <v>418.75</v>
      </c>
      <c r="H102" s="31">
        <f t="shared" ref="H102:H104" si="8">TRUNC(G102*F102,2)</f>
        <v>1.04</v>
      </c>
    </row>
    <row r="103" spans="1:8" ht="24" customHeight="1" x14ac:dyDescent="0.2">
      <c r="A103" s="190" t="s">
        <v>206</v>
      </c>
      <c r="B103" s="28">
        <v>88309</v>
      </c>
      <c r="C103" s="190" t="s">
        <v>24</v>
      </c>
      <c r="D103" s="190" t="s">
        <v>247</v>
      </c>
      <c r="E103" s="29" t="s">
        <v>209</v>
      </c>
      <c r="F103" s="30">
        <v>0.25</v>
      </c>
      <c r="G103" s="31">
        <v>19.98</v>
      </c>
      <c r="H103" s="31">
        <f t="shared" si="8"/>
        <v>4.99</v>
      </c>
    </row>
    <row r="104" spans="1:8" ht="24" customHeight="1" x14ac:dyDescent="0.2">
      <c r="A104" s="190" t="s">
        <v>206</v>
      </c>
      <c r="B104" s="28">
        <v>88316</v>
      </c>
      <c r="C104" s="190" t="s">
        <v>24</v>
      </c>
      <c r="D104" s="190" t="s">
        <v>219</v>
      </c>
      <c r="E104" s="29" t="s">
        <v>270</v>
      </c>
      <c r="F104" s="30">
        <v>0.5</v>
      </c>
      <c r="G104" s="31">
        <v>16.02</v>
      </c>
      <c r="H104" s="31">
        <f t="shared" si="8"/>
        <v>8.01</v>
      </c>
    </row>
    <row r="105" spans="1:8" x14ac:dyDescent="0.2">
      <c r="A105" s="228"/>
      <c r="B105" s="228"/>
      <c r="C105" s="228"/>
      <c r="D105" s="228"/>
      <c r="E105" s="228"/>
      <c r="F105" s="324" t="s">
        <v>212</v>
      </c>
      <c r="G105" s="324"/>
      <c r="H105" s="227">
        <f>H106-H101</f>
        <v>3.9312000000000005</v>
      </c>
    </row>
    <row r="106" spans="1:8" ht="15" thickBot="1" x14ac:dyDescent="0.25">
      <c r="A106" s="317" t="s">
        <v>449</v>
      </c>
      <c r="B106" s="317"/>
      <c r="C106" s="317"/>
      <c r="D106" s="317"/>
      <c r="E106" s="317"/>
      <c r="F106" s="321" t="s">
        <v>213</v>
      </c>
      <c r="G106" s="321"/>
      <c r="H106" s="227">
        <f>H101*(1+28%)</f>
        <v>17.9712</v>
      </c>
    </row>
    <row r="107" spans="1:8" ht="0.95" customHeight="1" thickTop="1" x14ac:dyDescent="0.2">
      <c r="A107" s="229"/>
      <c r="B107" s="229"/>
      <c r="C107" s="229"/>
      <c r="D107" s="229"/>
      <c r="E107" s="229"/>
      <c r="F107" s="229"/>
      <c r="G107" s="229"/>
      <c r="H107" s="229"/>
    </row>
    <row r="108" spans="1:8" ht="15" x14ac:dyDescent="0.2">
      <c r="A108" s="188" t="s">
        <v>272</v>
      </c>
      <c r="B108" s="22" t="s">
        <v>5</v>
      </c>
      <c r="C108" s="188" t="s">
        <v>6</v>
      </c>
      <c r="D108" s="188" t="s">
        <v>7</v>
      </c>
      <c r="E108" s="23" t="s">
        <v>8</v>
      </c>
      <c r="F108" s="22" t="s">
        <v>9</v>
      </c>
      <c r="G108" s="22" t="s">
        <v>10</v>
      </c>
      <c r="H108" s="22" t="s">
        <v>12</v>
      </c>
    </row>
    <row r="109" spans="1:8" ht="25.5" x14ac:dyDescent="0.2">
      <c r="A109" s="189" t="s">
        <v>205</v>
      </c>
      <c r="B109" s="24" t="s">
        <v>439</v>
      </c>
      <c r="C109" s="189" t="s">
        <v>18</v>
      </c>
      <c r="D109" s="189" t="s">
        <v>441</v>
      </c>
      <c r="E109" s="25" t="s">
        <v>26</v>
      </c>
      <c r="F109" s="26">
        <v>1</v>
      </c>
      <c r="G109" s="27">
        <f>H109</f>
        <v>6.4</v>
      </c>
      <c r="H109" s="27">
        <f>SUM(H110)</f>
        <v>6.4</v>
      </c>
    </row>
    <row r="110" spans="1:8" ht="24" customHeight="1" x14ac:dyDescent="0.2">
      <c r="A110" s="190" t="s">
        <v>206</v>
      </c>
      <c r="B110" s="28">
        <v>88316</v>
      </c>
      <c r="C110" s="190" t="s">
        <v>24</v>
      </c>
      <c r="D110" s="190" t="s">
        <v>219</v>
      </c>
      <c r="E110" s="29" t="s">
        <v>209</v>
      </c>
      <c r="F110" s="30">
        <v>0.4</v>
      </c>
      <c r="G110" s="31">
        <v>16.02</v>
      </c>
      <c r="H110" s="31">
        <f>TRUNC(G110*F110,2)</f>
        <v>6.4</v>
      </c>
    </row>
    <row r="111" spans="1:8" x14ac:dyDescent="0.2">
      <c r="A111" s="228"/>
      <c r="B111" s="228"/>
      <c r="C111" s="228"/>
      <c r="D111" s="228"/>
      <c r="E111" s="228"/>
      <c r="F111" s="324" t="s">
        <v>212</v>
      </c>
      <c r="G111" s="324"/>
      <c r="H111" s="227">
        <f>H112-H109</f>
        <v>1.7919999999999998</v>
      </c>
    </row>
    <row r="112" spans="1:8" ht="15" thickBot="1" x14ac:dyDescent="0.25">
      <c r="A112" s="317" t="s">
        <v>440</v>
      </c>
      <c r="B112" s="317"/>
      <c r="C112" s="317"/>
      <c r="D112" s="317"/>
      <c r="E112" s="317"/>
      <c r="F112" s="321" t="s">
        <v>213</v>
      </c>
      <c r="G112" s="321"/>
      <c r="H112" s="227">
        <f>H109*(1+28%)</f>
        <v>8.1920000000000002</v>
      </c>
    </row>
    <row r="113" spans="1:8" ht="0.95" customHeight="1" thickTop="1" x14ac:dyDescent="0.2">
      <c r="A113" s="229"/>
      <c r="B113" s="229"/>
      <c r="C113" s="229"/>
      <c r="D113" s="229"/>
      <c r="E113" s="229"/>
      <c r="F113" s="229"/>
      <c r="G113" s="229"/>
      <c r="H113" s="229"/>
    </row>
    <row r="114" spans="1:8" ht="15" x14ac:dyDescent="0.2">
      <c r="A114" s="188" t="s">
        <v>120</v>
      </c>
      <c r="B114" s="22" t="s">
        <v>5</v>
      </c>
      <c r="C114" s="188" t="s">
        <v>6</v>
      </c>
      <c r="D114" s="188" t="s">
        <v>7</v>
      </c>
      <c r="E114" s="23" t="s">
        <v>8</v>
      </c>
      <c r="F114" s="22" t="s">
        <v>9</v>
      </c>
      <c r="G114" s="22" t="s">
        <v>10</v>
      </c>
      <c r="H114" s="22" t="s">
        <v>12</v>
      </c>
    </row>
    <row r="115" spans="1:8" ht="25.5" x14ac:dyDescent="0.2">
      <c r="A115" s="189" t="s">
        <v>205</v>
      </c>
      <c r="B115" s="24" t="s">
        <v>453</v>
      </c>
      <c r="C115" s="189" t="s">
        <v>18</v>
      </c>
      <c r="D115" s="189" t="s">
        <v>456</v>
      </c>
      <c r="E115" s="25" t="s">
        <v>73</v>
      </c>
      <c r="F115" s="26">
        <v>1</v>
      </c>
      <c r="G115" s="27">
        <f>H115</f>
        <v>85.521000000000001</v>
      </c>
      <c r="H115" s="27">
        <f>SUM(H116:H117)</f>
        <v>85.521000000000001</v>
      </c>
    </row>
    <row r="116" spans="1:8" ht="13.5" customHeight="1" x14ac:dyDescent="0.2">
      <c r="A116" s="190" t="s">
        <v>206</v>
      </c>
      <c r="B116" s="28">
        <v>88264</v>
      </c>
      <c r="C116" s="190" t="s">
        <v>24</v>
      </c>
      <c r="D116" s="190" t="s">
        <v>455</v>
      </c>
      <c r="E116" s="29" t="s">
        <v>209</v>
      </c>
      <c r="F116" s="30">
        <v>0.1</v>
      </c>
      <c r="G116" s="31">
        <v>20.71</v>
      </c>
      <c r="H116" s="31">
        <f>G116*F116</f>
        <v>2.0710000000000002</v>
      </c>
    </row>
    <row r="117" spans="1:8" x14ac:dyDescent="0.2">
      <c r="A117" s="191" t="s">
        <v>220</v>
      </c>
      <c r="B117" s="32" t="s">
        <v>466</v>
      </c>
      <c r="C117" s="191" t="s">
        <v>18</v>
      </c>
      <c r="D117" s="191" t="s">
        <v>467</v>
      </c>
      <c r="E117" s="33" t="s">
        <v>56</v>
      </c>
      <c r="F117" s="34">
        <v>1</v>
      </c>
      <c r="G117" s="35">
        <v>83.45</v>
      </c>
      <c r="H117" s="35">
        <f>G117*F117</f>
        <v>83.45</v>
      </c>
    </row>
    <row r="118" spans="1:8" x14ac:dyDescent="0.2">
      <c r="A118" s="228"/>
      <c r="B118" s="228"/>
      <c r="C118" s="228"/>
      <c r="D118" s="228"/>
      <c r="E118" s="228"/>
      <c r="F118" s="324" t="s">
        <v>212</v>
      </c>
      <c r="G118" s="324"/>
      <c r="H118" s="227">
        <f>H119-H115</f>
        <v>23.945880000000002</v>
      </c>
    </row>
    <row r="119" spans="1:8" ht="15" thickBot="1" x14ac:dyDescent="0.25">
      <c r="A119" s="317" t="s">
        <v>454</v>
      </c>
      <c r="B119" s="317"/>
      <c r="C119" s="317"/>
      <c r="D119" s="317"/>
      <c r="E119" s="317"/>
      <c r="F119" s="321" t="s">
        <v>213</v>
      </c>
      <c r="G119" s="321"/>
      <c r="H119" s="227">
        <f>H115*(1+28%)</f>
        <v>109.46688</v>
      </c>
    </row>
    <row r="120" spans="1:8" ht="0.95" customHeight="1" thickTop="1" x14ac:dyDescent="0.2">
      <c r="A120" s="229"/>
      <c r="B120" s="229"/>
      <c r="C120" s="229"/>
      <c r="D120" s="229"/>
      <c r="E120" s="229"/>
      <c r="F120" s="229"/>
      <c r="G120" s="229"/>
      <c r="H120" s="229"/>
    </row>
    <row r="121" spans="1:8" ht="15" x14ac:dyDescent="0.2">
      <c r="A121" s="188" t="s">
        <v>121</v>
      </c>
      <c r="B121" s="22" t="s">
        <v>5</v>
      </c>
      <c r="C121" s="188" t="s">
        <v>6</v>
      </c>
      <c r="D121" s="188" t="s">
        <v>7</v>
      </c>
      <c r="E121" s="23" t="s">
        <v>8</v>
      </c>
      <c r="F121" s="22" t="s">
        <v>9</v>
      </c>
      <c r="G121" s="22" t="s">
        <v>10</v>
      </c>
      <c r="H121" s="22" t="s">
        <v>12</v>
      </c>
    </row>
    <row r="122" spans="1:8" ht="24" customHeight="1" x14ac:dyDescent="0.2">
      <c r="A122" s="189" t="s">
        <v>205</v>
      </c>
      <c r="B122" s="24" t="s">
        <v>443</v>
      </c>
      <c r="C122" s="189" t="s">
        <v>18</v>
      </c>
      <c r="D122" s="189" t="s">
        <v>444</v>
      </c>
      <c r="E122" s="25" t="s">
        <v>26</v>
      </c>
      <c r="F122" s="26">
        <v>1</v>
      </c>
      <c r="G122" s="27">
        <f>H122</f>
        <v>7.26</v>
      </c>
      <c r="H122" s="27">
        <f>SUM(H123:H126)</f>
        <v>7.26</v>
      </c>
    </row>
    <row r="123" spans="1:8" ht="24" customHeight="1" x14ac:dyDescent="0.2">
      <c r="A123" s="190" t="s">
        <v>206</v>
      </c>
      <c r="B123" s="28">
        <v>88310</v>
      </c>
      <c r="C123" s="190" t="s">
        <v>24</v>
      </c>
      <c r="D123" s="190" t="s">
        <v>445</v>
      </c>
      <c r="E123" s="29" t="s">
        <v>209</v>
      </c>
      <c r="F123" s="30">
        <v>0.2</v>
      </c>
      <c r="G123" s="31">
        <v>21.05</v>
      </c>
      <c r="H123" s="31">
        <f>G123*F123</f>
        <v>4.21</v>
      </c>
    </row>
    <row r="124" spans="1:8" ht="24" customHeight="1" x14ac:dyDescent="0.2">
      <c r="A124" s="190" t="s">
        <v>206</v>
      </c>
      <c r="B124" s="28">
        <v>88316</v>
      </c>
      <c r="C124" s="190" t="s">
        <v>24</v>
      </c>
      <c r="D124" s="190" t="s">
        <v>435</v>
      </c>
      <c r="E124" s="29" t="s">
        <v>209</v>
      </c>
      <c r="F124" s="30">
        <v>0.1</v>
      </c>
      <c r="G124" s="31">
        <v>16.02</v>
      </c>
      <c r="H124" s="31">
        <f>G124*F124</f>
        <v>1.6020000000000001</v>
      </c>
    </row>
    <row r="125" spans="1:8" x14ac:dyDescent="0.2">
      <c r="A125" s="191" t="s">
        <v>220</v>
      </c>
      <c r="B125" s="32">
        <v>6085</v>
      </c>
      <c r="C125" s="191" t="s">
        <v>24</v>
      </c>
      <c r="D125" s="191" t="s">
        <v>446</v>
      </c>
      <c r="E125" s="33" t="s">
        <v>447</v>
      </c>
      <c r="F125" s="34">
        <v>0.2</v>
      </c>
      <c r="G125" s="35">
        <v>4.4400000000000004</v>
      </c>
      <c r="H125" s="35">
        <f>G125*F125</f>
        <v>0.88800000000000012</v>
      </c>
    </row>
    <row r="126" spans="1:8" ht="24" customHeight="1" x14ac:dyDescent="0.2">
      <c r="A126" s="191" t="s">
        <v>220</v>
      </c>
      <c r="B126" s="32" t="s">
        <v>273</v>
      </c>
      <c r="C126" s="191" t="s">
        <v>24</v>
      </c>
      <c r="D126" s="191" t="s">
        <v>274</v>
      </c>
      <c r="E126" s="33" t="s">
        <v>56</v>
      </c>
      <c r="F126" s="34">
        <v>0.5</v>
      </c>
      <c r="G126" s="35">
        <v>1.1200000000000001</v>
      </c>
      <c r="H126" s="35">
        <f>G126*F126</f>
        <v>0.56000000000000005</v>
      </c>
    </row>
    <row r="127" spans="1:8" x14ac:dyDescent="0.2">
      <c r="A127" s="228"/>
      <c r="B127" s="228"/>
      <c r="C127" s="228"/>
      <c r="D127" s="228"/>
      <c r="E127" s="228"/>
      <c r="F127" s="324" t="s">
        <v>212</v>
      </c>
      <c r="G127" s="324"/>
      <c r="H127" s="227">
        <f>H128-H122</f>
        <v>2.0327999999999999</v>
      </c>
    </row>
    <row r="128" spans="1:8" ht="15" thickBot="1" x14ac:dyDescent="0.25">
      <c r="A128" s="317" t="s">
        <v>442</v>
      </c>
      <c r="B128" s="317"/>
      <c r="C128" s="317"/>
      <c r="D128" s="317"/>
      <c r="E128" s="317"/>
      <c r="F128" s="321" t="s">
        <v>213</v>
      </c>
      <c r="G128" s="321"/>
      <c r="H128" s="227">
        <f>H122*(1+28%)</f>
        <v>9.2927999999999997</v>
      </c>
    </row>
    <row r="129" spans="1:8" ht="0.95" customHeight="1" thickTop="1" thickBot="1" x14ac:dyDescent="0.25">
      <c r="A129" s="229"/>
      <c r="B129" s="229"/>
      <c r="C129" s="229"/>
      <c r="D129" s="229"/>
      <c r="E129" s="229"/>
      <c r="F129" s="229"/>
      <c r="G129" s="229"/>
      <c r="H129" s="229"/>
    </row>
    <row r="130" spans="1:8" ht="15.75" thickBot="1" x14ac:dyDescent="0.3">
      <c r="A130" s="331" t="s">
        <v>412</v>
      </c>
      <c r="B130" s="332"/>
      <c r="C130" s="332"/>
      <c r="D130" s="332"/>
      <c r="E130" s="332"/>
      <c r="F130" s="332"/>
      <c r="G130" s="332"/>
      <c r="H130" s="333"/>
    </row>
    <row r="131" spans="1:8" ht="26.25" customHeight="1" x14ac:dyDescent="0.2">
      <c r="A131" s="2" t="s">
        <v>413</v>
      </c>
      <c r="B131" s="318" t="s">
        <v>55</v>
      </c>
      <c r="C131" s="319"/>
      <c r="D131" s="319"/>
      <c r="E131" s="319"/>
      <c r="F131" s="320"/>
      <c r="G131" s="322" t="s">
        <v>44</v>
      </c>
      <c r="H131" s="323"/>
    </row>
    <row r="132" spans="1:8" x14ac:dyDescent="0.2">
      <c r="A132" s="230" t="s">
        <v>414</v>
      </c>
      <c r="B132" s="309" t="s">
        <v>415</v>
      </c>
      <c r="C132" s="310"/>
      <c r="D132" s="310"/>
      <c r="E132" s="231" t="s">
        <v>426</v>
      </c>
      <c r="F132" s="231" t="s">
        <v>416</v>
      </c>
      <c r="G132" s="231" t="s">
        <v>417</v>
      </c>
      <c r="H132" s="232" t="s">
        <v>418</v>
      </c>
    </row>
    <row r="133" spans="1:8" ht="15" thickBot="1" x14ac:dyDescent="0.25">
      <c r="A133" s="239">
        <v>44679</v>
      </c>
      <c r="B133" s="314" t="s">
        <v>421</v>
      </c>
      <c r="C133" s="315"/>
      <c r="D133" s="316"/>
      <c r="E133" s="249" t="s">
        <v>422</v>
      </c>
      <c r="F133" s="235" t="s">
        <v>423</v>
      </c>
      <c r="G133" s="233" t="s">
        <v>424</v>
      </c>
      <c r="H133" s="234">
        <v>21818.9</v>
      </c>
    </row>
    <row r="134" spans="1:8" ht="15" thickBot="1" x14ac:dyDescent="0.25">
      <c r="A134" s="240"/>
      <c r="B134" s="236"/>
      <c r="C134" s="241"/>
      <c r="D134" s="236"/>
      <c r="E134" s="240"/>
      <c r="F134" s="236"/>
      <c r="G134" s="237" t="s">
        <v>419</v>
      </c>
      <c r="H134" s="238">
        <f>AVERAGE(H133:H133)</f>
        <v>21818.9</v>
      </c>
    </row>
    <row r="135" spans="1:8" x14ac:dyDescent="0.2">
      <c r="A135" s="2" t="s">
        <v>457</v>
      </c>
      <c r="B135" s="318" t="s">
        <v>467</v>
      </c>
      <c r="C135" s="319"/>
      <c r="D135" s="319"/>
      <c r="E135" s="319"/>
      <c r="F135" s="320"/>
      <c r="G135" s="322" t="s">
        <v>44</v>
      </c>
      <c r="H135" s="323"/>
    </row>
    <row r="136" spans="1:8" x14ac:dyDescent="0.2">
      <c r="A136" s="230" t="s">
        <v>414</v>
      </c>
      <c r="B136" s="309" t="s">
        <v>415</v>
      </c>
      <c r="C136" s="310"/>
      <c r="D136" s="310"/>
      <c r="E136" s="231" t="s">
        <v>426</v>
      </c>
      <c r="F136" s="231" t="s">
        <v>416</v>
      </c>
      <c r="G136" s="231" t="s">
        <v>417</v>
      </c>
      <c r="H136" s="232" t="s">
        <v>418</v>
      </c>
    </row>
    <row r="137" spans="1:8" x14ac:dyDescent="0.2">
      <c r="A137" s="239">
        <v>44671</v>
      </c>
      <c r="B137" s="311" t="s">
        <v>458</v>
      </c>
      <c r="C137" s="312"/>
      <c r="D137" s="313"/>
      <c r="E137" s="265" t="s">
        <v>459</v>
      </c>
      <c r="F137" s="233" t="s">
        <v>464</v>
      </c>
      <c r="G137" s="233" t="s">
        <v>460</v>
      </c>
      <c r="H137" s="234">
        <v>70</v>
      </c>
    </row>
    <row r="138" spans="1:8" s="248" customFormat="1" x14ac:dyDescent="0.2">
      <c r="A138" s="239">
        <v>44671</v>
      </c>
      <c r="B138" s="311" t="s">
        <v>461</v>
      </c>
      <c r="C138" s="312"/>
      <c r="D138" s="313"/>
      <c r="E138" s="265" t="s">
        <v>462</v>
      </c>
      <c r="F138" s="233" t="s">
        <v>463</v>
      </c>
      <c r="G138" s="233" t="s">
        <v>465</v>
      </c>
      <c r="H138" s="234">
        <v>96.9</v>
      </c>
    </row>
    <row r="139" spans="1:8" s="248" customFormat="1" ht="15" thickBot="1" x14ac:dyDescent="0.25">
      <c r="A139" s="239"/>
      <c r="B139" s="314"/>
      <c r="C139" s="315"/>
      <c r="D139" s="316"/>
      <c r="E139" s="265"/>
      <c r="F139" s="266"/>
      <c r="G139" s="233"/>
      <c r="H139" s="234"/>
    </row>
    <row r="140" spans="1:8" ht="15" thickBot="1" x14ac:dyDescent="0.25">
      <c r="A140" s="240"/>
      <c r="B140" s="236"/>
      <c r="C140" s="241"/>
      <c r="D140" s="241"/>
      <c r="E140" s="240"/>
      <c r="F140" s="267"/>
      <c r="G140" s="237" t="s">
        <v>419</v>
      </c>
      <c r="H140" s="238">
        <f>AVERAGE(H137:H139)</f>
        <v>83.45</v>
      </c>
    </row>
    <row r="141" spans="1:8" x14ac:dyDescent="0.2">
      <c r="A141" s="2" t="s">
        <v>489</v>
      </c>
      <c r="B141" s="318" t="s">
        <v>490</v>
      </c>
      <c r="C141" s="319"/>
      <c r="D141" s="319"/>
      <c r="E141" s="319"/>
      <c r="F141" s="320"/>
      <c r="G141" s="322" t="s">
        <v>44</v>
      </c>
      <c r="H141" s="323"/>
    </row>
    <row r="142" spans="1:8" x14ac:dyDescent="0.2">
      <c r="A142" s="230" t="s">
        <v>414</v>
      </c>
      <c r="B142" s="309" t="s">
        <v>415</v>
      </c>
      <c r="C142" s="310"/>
      <c r="D142" s="310"/>
      <c r="E142" s="231" t="s">
        <v>426</v>
      </c>
      <c r="F142" s="231" t="s">
        <v>416</v>
      </c>
      <c r="G142" s="231" t="s">
        <v>417</v>
      </c>
      <c r="H142" s="232" t="s">
        <v>418</v>
      </c>
    </row>
    <row r="143" spans="1:8" x14ac:dyDescent="0.2">
      <c r="A143" s="239">
        <v>44684</v>
      </c>
      <c r="B143" s="311" t="s">
        <v>492</v>
      </c>
      <c r="C143" s="312"/>
      <c r="D143" s="313"/>
      <c r="E143" s="265" t="s">
        <v>491</v>
      </c>
      <c r="F143" s="233" t="s">
        <v>493</v>
      </c>
      <c r="G143" s="233" t="s">
        <v>495</v>
      </c>
      <c r="H143" s="234">
        <v>271.13</v>
      </c>
    </row>
    <row r="144" spans="1:8" x14ac:dyDescent="0.2">
      <c r="A144" s="239">
        <v>44684</v>
      </c>
      <c r="B144" s="311" t="s">
        <v>498</v>
      </c>
      <c r="C144" s="312"/>
      <c r="D144" s="313"/>
      <c r="E144" s="265" t="s">
        <v>497</v>
      </c>
      <c r="F144" s="233" t="s">
        <v>494</v>
      </c>
      <c r="G144" s="233" t="s">
        <v>496</v>
      </c>
      <c r="H144" s="234">
        <v>277.64</v>
      </c>
    </row>
    <row r="145" spans="1:8" ht="15" thickBot="1" x14ac:dyDescent="0.25">
      <c r="A145" s="239">
        <v>44684</v>
      </c>
      <c r="B145" s="314" t="s">
        <v>499</v>
      </c>
      <c r="C145" s="315"/>
      <c r="D145" s="316"/>
      <c r="E145" s="265" t="s">
        <v>500</v>
      </c>
      <c r="F145" s="266" t="s">
        <v>501</v>
      </c>
      <c r="G145" s="233" t="s">
        <v>502</v>
      </c>
      <c r="H145" s="234">
        <v>254.99</v>
      </c>
    </row>
    <row r="146" spans="1:8" ht="15" thickBot="1" x14ac:dyDescent="0.25">
      <c r="A146" s="240"/>
      <c r="B146" s="236"/>
      <c r="C146" s="241"/>
      <c r="D146" s="241"/>
      <c r="E146" s="240"/>
      <c r="F146" s="267"/>
      <c r="G146" s="237" t="s">
        <v>419</v>
      </c>
      <c r="H146" s="238">
        <f>AVERAGE(H143:H145)</f>
        <v>267.92</v>
      </c>
    </row>
  </sheetData>
  <mergeCells count="57">
    <mergeCell ref="B145:D145"/>
    <mergeCell ref="B141:F141"/>
    <mergeCell ref="G141:H141"/>
    <mergeCell ref="B142:D142"/>
    <mergeCell ref="B143:D143"/>
    <mergeCell ref="B144:D144"/>
    <mergeCell ref="A21:E21"/>
    <mergeCell ref="A130:H130"/>
    <mergeCell ref="F98:G98"/>
    <mergeCell ref="F99:G99"/>
    <mergeCell ref="A99:E99"/>
    <mergeCell ref="F58:G58"/>
    <mergeCell ref="F78:G78"/>
    <mergeCell ref="F89:G89"/>
    <mergeCell ref="F105:G105"/>
    <mergeCell ref="F69:G69"/>
    <mergeCell ref="F59:G59"/>
    <mergeCell ref="F79:G79"/>
    <mergeCell ref="F70:G70"/>
    <mergeCell ref="F90:G90"/>
    <mergeCell ref="F111:G111"/>
    <mergeCell ref="A112:E112"/>
    <mergeCell ref="A3:H3"/>
    <mergeCell ref="A4:H4"/>
    <mergeCell ref="F36:G36"/>
    <mergeCell ref="F49:G49"/>
    <mergeCell ref="C1:D1"/>
    <mergeCell ref="E1:F1"/>
    <mergeCell ref="G1:H1"/>
    <mergeCell ref="C2:D2"/>
    <mergeCell ref="E2:F2"/>
    <mergeCell ref="G2:H2"/>
    <mergeCell ref="F9:G9"/>
    <mergeCell ref="F21:G21"/>
    <mergeCell ref="F35:G35"/>
    <mergeCell ref="F48:G48"/>
    <mergeCell ref="F10:G10"/>
    <mergeCell ref="F20:G20"/>
    <mergeCell ref="A106:E106"/>
    <mergeCell ref="A119:E119"/>
    <mergeCell ref="B135:F135"/>
    <mergeCell ref="F128:G128"/>
    <mergeCell ref="B131:F131"/>
    <mergeCell ref="G131:H131"/>
    <mergeCell ref="B132:D132"/>
    <mergeCell ref="B133:D133"/>
    <mergeCell ref="F127:G127"/>
    <mergeCell ref="F118:G118"/>
    <mergeCell ref="F106:G106"/>
    <mergeCell ref="F119:G119"/>
    <mergeCell ref="F112:G112"/>
    <mergeCell ref="G135:H135"/>
    <mergeCell ref="B136:D136"/>
    <mergeCell ref="B137:D137"/>
    <mergeCell ref="B138:D138"/>
    <mergeCell ref="B139:D139"/>
    <mergeCell ref="A128:E128"/>
  </mergeCells>
  <phoneticPr fontId="42" type="noConversion"/>
  <printOptions horizontalCentered="1" verticalCentered="1"/>
  <pageMargins left="0.51181102362204722" right="0.51181102362204722" top="1.2204724409448819" bottom="0.78740157480314965" header="0.51181102362204722" footer="0.51181102362204722"/>
  <pageSetup paperSize="9" scale="88" fitToHeight="0" orientation="landscape" r:id="rId1"/>
  <headerFooter>
    <oddHeader xml:space="preserve">&amp;L &amp;C&amp;G </oddHeader>
    <oddFooter>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95D8-73B6-4125-82AB-3A3EA8D1DC55}">
  <sheetPr>
    <tabColor theme="5" tint="0.39997558519241921"/>
    <pageSetUpPr fitToPage="1"/>
  </sheetPr>
  <dimension ref="A1:N47"/>
  <sheetViews>
    <sheetView view="pageBreakPreview" topLeftCell="B4" zoomScale="85" zoomScaleNormal="100" zoomScaleSheetLayoutView="85" workbookViewId="0">
      <selection activeCell="E11" sqref="E11:L11"/>
    </sheetView>
  </sheetViews>
  <sheetFormatPr defaultColWidth="8" defaultRowHeight="12.75" x14ac:dyDescent="0.2"/>
  <cols>
    <col min="1" max="4" width="8" style="57"/>
    <col min="5" max="5" width="10.625" style="57" customWidth="1"/>
    <col min="6" max="6" width="12.125" style="57" customWidth="1"/>
    <col min="7" max="7" width="65.875" style="57" customWidth="1"/>
    <col min="8" max="8" width="19.625" style="57" customWidth="1"/>
    <col min="9" max="9" width="7.375" style="57" customWidth="1"/>
    <col min="10" max="10" width="8.875" style="57" customWidth="1"/>
    <col min="11" max="11" width="11.25" style="57" customWidth="1"/>
    <col min="12" max="12" width="15" style="57" customWidth="1"/>
    <col min="13" max="16384" width="8" style="57"/>
  </cols>
  <sheetData>
    <row r="1" spans="1:14" ht="21.6" customHeight="1" thickBot="1" x14ac:dyDescent="0.25">
      <c r="B1" s="58"/>
      <c r="D1" s="59"/>
    </row>
    <row r="2" spans="1:14" ht="16.149999999999999" customHeight="1" thickTop="1" x14ac:dyDescent="0.2">
      <c r="A2" s="60"/>
      <c r="B2" s="61">
        <f>1+K15/100+K17/100+K18/100+K19/100</f>
        <v>1.0542</v>
      </c>
      <c r="D2" s="59"/>
    </row>
    <row r="3" spans="1:14" x14ac:dyDescent="0.2">
      <c r="A3" s="60"/>
      <c r="B3" s="62">
        <f>1+K16/100</f>
        <v>1.0129999999999999</v>
      </c>
      <c r="D3" s="59"/>
    </row>
    <row r="4" spans="1:14" s="63" customFormat="1" x14ac:dyDescent="0.2">
      <c r="D4" s="64"/>
      <c r="E4" s="57"/>
      <c r="F4" s="57"/>
      <c r="G4" s="57"/>
      <c r="H4" s="57"/>
      <c r="I4" s="57"/>
      <c r="J4" s="57"/>
      <c r="K4" s="57"/>
      <c r="L4" s="57"/>
      <c r="M4" s="65"/>
      <c r="N4" s="66"/>
    </row>
    <row r="5" spans="1:14" s="67" customFormat="1" ht="67.5" customHeight="1" x14ac:dyDescent="0.2">
      <c r="D5" s="68"/>
      <c r="E5" s="57"/>
      <c r="F5" s="57"/>
      <c r="G5" s="57"/>
      <c r="H5" s="57"/>
      <c r="I5" s="57"/>
      <c r="J5" s="57"/>
      <c r="K5" s="57"/>
      <c r="L5" s="57"/>
      <c r="M5" s="69"/>
      <c r="N5" s="70"/>
    </row>
    <row r="6" spans="1:14" s="67" customFormat="1" ht="30" customHeight="1" x14ac:dyDescent="0.2">
      <c r="D6" s="71"/>
      <c r="E6" s="57"/>
      <c r="F6" s="57"/>
      <c r="G6" s="57"/>
      <c r="H6" s="57"/>
      <c r="I6" s="57"/>
      <c r="J6" s="57"/>
      <c r="K6" s="57"/>
      <c r="L6" s="57"/>
      <c r="M6" s="69"/>
      <c r="N6" s="70"/>
    </row>
    <row r="7" spans="1:14" s="72" customFormat="1" ht="18.75" hidden="1" customHeight="1" thickBot="1" x14ac:dyDescent="0.25">
      <c r="D7" s="73"/>
      <c r="E7" s="334"/>
      <c r="F7" s="335"/>
      <c r="G7" s="335"/>
      <c r="H7" s="335"/>
      <c r="I7" s="335"/>
      <c r="J7" s="335"/>
      <c r="K7" s="335"/>
      <c r="L7" s="336"/>
      <c r="M7" s="74"/>
      <c r="N7" s="75"/>
    </row>
    <row r="8" spans="1:14" s="63" customFormat="1" ht="21.75" customHeight="1" thickBot="1" x14ac:dyDescent="0.25">
      <c r="D8" s="64"/>
      <c r="E8" s="76"/>
      <c r="F8" s="76"/>
      <c r="G8" s="77"/>
      <c r="H8" s="76"/>
      <c r="I8" s="78"/>
      <c r="J8" s="78"/>
      <c r="K8" s="78"/>
      <c r="L8" s="78"/>
      <c r="M8" s="65"/>
      <c r="N8" s="66"/>
    </row>
    <row r="9" spans="1:14" s="72" customFormat="1" ht="18" x14ac:dyDescent="0.2">
      <c r="D9" s="73"/>
      <c r="E9" s="79" t="s">
        <v>172</v>
      </c>
      <c r="F9" s="80" t="s">
        <v>180</v>
      </c>
      <c r="G9" s="81"/>
      <c r="H9" s="81"/>
      <c r="I9" s="81"/>
      <c r="J9" s="81"/>
      <c r="K9" s="82"/>
      <c r="L9" s="83"/>
      <c r="M9" s="84"/>
      <c r="N9" s="75"/>
    </row>
    <row r="10" spans="1:14" s="72" customFormat="1" ht="18.75" thickBot="1" x14ac:dyDescent="0.25">
      <c r="D10" s="73"/>
      <c r="E10" s="85" t="s">
        <v>289</v>
      </c>
      <c r="F10" s="86" t="s">
        <v>181</v>
      </c>
      <c r="G10" s="86"/>
      <c r="H10" s="86"/>
      <c r="I10" s="86"/>
      <c r="J10" s="337"/>
      <c r="K10" s="337"/>
      <c r="L10" s="87"/>
      <c r="M10" s="88"/>
      <c r="N10" s="75"/>
    </row>
    <row r="11" spans="1:14" s="72" customFormat="1" ht="24" thickBot="1" x14ac:dyDescent="0.25">
      <c r="D11" s="73"/>
      <c r="E11" s="338" t="s">
        <v>290</v>
      </c>
      <c r="F11" s="339"/>
      <c r="G11" s="339"/>
      <c r="H11" s="339"/>
      <c r="I11" s="339"/>
      <c r="J11" s="339"/>
      <c r="K11" s="339"/>
      <c r="L11" s="340"/>
      <c r="M11" s="74"/>
      <c r="N11" s="75"/>
    </row>
    <row r="12" spans="1:14" ht="15.75" x14ac:dyDescent="0.25">
      <c r="D12" s="59"/>
      <c r="E12" s="341" t="s">
        <v>291</v>
      </c>
      <c r="F12" s="343" t="s">
        <v>292</v>
      </c>
      <c r="G12" s="343"/>
      <c r="H12" s="343"/>
      <c r="I12" s="343"/>
      <c r="J12" s="343"/>
      <c r="K12" s="345" t="s">
        <v>293</v>
      </c>
      <c r="L12" s="346"/>
    </row>
    <row r="13" spans="1:14" ht="15.75" x14ac:dyDescent="0.25">
      <c r="D13" s="59"/>
      <c r="E13" s="342"/>
      <c r="F13" s="344"/>
      <c r="G13" s="344"/>
      <c r="H13" s="344"/>
      <c r="I13" s="344"/>
      <c r="J13" s="344"/>
      <c r="K13" s="347" t="s">
        <v>294</v>
      </c>
      <c r="L13" s="348"/>
    </row>
    <row r="14" spans="1:14" ht="16.5" thickBot="1" x14ac:dyDescent="0.3">
      <c r="B14" s="89" t="s">
        <v>295</v>
      </c>
      <c r="C14" s="89" t="s">
        <v>296</v>
      </c>
      <c r="D14" s="90"/>
      <c r="E14" s="91">
        <v>1</v>
      </c>
      <c r="F14" s="349" t="s">
        <v>297</v>
      </c>
      <c r="G14" s="349"/>
      <c r="H14" s="349"/>
      <c r="I14" s="349"/>
      <c r="J14" s="349"/>
      <c r="K14" s="350">
        <f>K15+K16+K17+K18+K19</f>
        <v>6.7200000000000006</v>
      </c>
      <c r="L14" s="351"/>
    </row>
    <row r="15" spans="1:14" ht="15.75" customHeight="1" thickBot="1" x14ac:dyDescent="0.3">
      <c r="B15" s="92">
        <v>5.5</v>
      </c>
      <c r="C15" s="93">
        <v>3</v>
      </c>
      <c r="D15" s="94"/>
      <c r="E15" s="95" t="s">
        <v>282</v>
      </c>
      <c r="F15" s="352" t="s">
        <v>298</v>
      </c>
      <c r="G15" s="352"/>
      <c r="H15" s="352"/>
      <c r="I15" s="352"/>
      <c r="J15" s="352"/>
      <c r="K15" s="353">
        <v>3.65</v>
      </c>
      <c r="L15" s="354"/>
      <c r="N15" s="57">
        <f>1+K15/100+K17/100+K18/100+K19/100</f>
        <v>1.0542</v>
      </c>
    </row>
    <row r="16" spans="1:14" ht="15.75" customHeight="1" thickBot="1" x14ac:dyDescent="0.3">
      <c r="B16" s="92">
        <v>1.39</v>
      </c>
      <c r="C16" s="93">
        <v>0.59</v>
      </c>
      <c r="D16" s="94"/>
      <c r="E16" s="95" t="s">
        <v>283</v>
      </c>
      <c r="F16" s="352" t="s">
        <v>299</v>
      </c>
      <c r="G16" s="352"/>
      <c r="H16" s="352"/>
      <c r="I16" s="352"/>
      <c r="J16" s="352"/>
      <c r="K16" s="353">
        <v>1.3</v>
      </c>
      <c r="L16" s="354"/>
      <c r="N16" s="57">
        <f>1+K21/100</f>
        <v>1.0649999999999999</v>
      </c>
    </row>
    <row r="17" spans="2:14" ht="15.75" customHeight="1" thickBot="1" x14ac:dyDescent="0.3">
      <c r="B17" s="92">
        <v>1.27</v>
      </c>
      <c r="C17" s="93">
        <v>0.97</v>
      </c>
      <c r="D17" s="94"/>
      <c r="E17" s="95" t="s">
        <v>284</v>
      </c>
      <c r="F17" s="352" t="s">
        <v>300</v>
      </c>
      <c r="G17" s="352"/>
      <c r="H17" s="352"/>
      <c r="I17" s="352"/>
      <c r="J17" s="352"/>
      <c r="K17" s="353">
        <v>0.97</v>
      </c>
      <c r="L17" s="354"/>
      <c r="N17" s="57">
        <f>1+K16/100</f>
        <v>1.0129999999999999</v>
      </c>
    </row>
    <row r="18" spans="2:14" ht="15" customHeight="1" x14ac:dyDescent="0.25">
      <c r="B18" s="96"/>
      <c r="C18" s="97"/>
      <c r="D18" s="94"/>
      <c r="E18" s="95" t="s">
        <v>285</v>
      </c>
      <c r="F18" s="352" t="s">
        <v>301</v>
      </c>
      <c r="G18" s="352"/>
      <c r="H18" s="352"/>
      <c r="I18" s="352"/>
      <c r="J18" s="352"/>
      <c r="K18" s="353">
        <v>0.4</v>
      </c>
      <c r="L18" s="354"/>
      <c r="N18" s="57">
        <f>1-K24/100</f>
        <v>0.88849999999999996</v>
      </c>
    </row>
    <row r="19" spans="2:14" ht="15.75" customHeight="1" thickBot="1" x14ac:dyDescent="0.3">
      <c r="B19" s="96"/>
      <c r="C19" s="97"/>
      <c r="D19" s="94"/>
      <c r="E19" s="98" t="s">
        <v>286</v>
      </c>
      <c r="F19" s="358" t="s">
        <v>302</v>
      </c>
      <c r="G19" s="358"/>
      <c r="H19" s="358"/>
      <c r="I19" s="358"/>
      <c r="J19" s="358"/>
      <c r="K19" s="359">
        <v>0.4</v>
      </c>
      <c r="L19" s="360"/>
      <c r="N19" s="57">
        <f>N15*N16*N17/N18</f>
        <v>1.2800432177827799</v>
      </c>
    </row>
    <row r="20" spans="2:14" ht="15.75" customHeight="1" thickBot="1" x14ac:dyDescent="0.25">
      <c r="B20" s="99"/>
      <c r="C20" s="99"/>
      <c r="D20" s="100"/>
      <c r="E20" s="355"/>
      <c r="F20" s="356"/>
      <c r="G20" s="356"/>
      <c r="H20" s="356"/>
      <c r="I20" s="356"/>
      <c r="J20" s="356"/>
      <c r="K20" s="356"/>
      <c r="L20" s="357"/>
      <c r="N20" s="101">
        <f>N19-1</f>
        <v>0.28004321778277985</v>
      </c>
    </row>
    <row r="21" spans="2:14" ht="15.75" customHeight="1" thickBot="1" x14ac:dyDescent="0.3">
      <c r="D21" s="59"/>
      <c r="E21" s="102" t="s">
        <v>303</v>
      </c>
      <c r="F21" s="361" t="s">
        <v>304</v>
      </c>
      <c r="G21" s="361"/>
      <c r="H21" s="361"/>
      <c r="I21" s="361"/>
      <c r="J21" s="361"/>
      <c r="K21" s="362">
        <f>K22</f>
        <v>6.5</v>
      </c>
      <c r="L21" s="363"/>
    </row>
    <row r="22" spans="2:14" ht="15.75" customHeight="1" thickBot="1" x14ac:dyDescent="0.3">
      <c r="B22" s="92">
        <v>8.9600000000000009</v>
      </c>
      <c r="C22" s="93">
        <v>6.16</v>
      </c>
      <c r="D22" s="94"/>
      <c r="E22" s="98" t="s">
        <v>305</v>
      </c>
      <c r="F22" s="364" t="s">
        <v>306</v>
      </c>
      <c r="G22" s="365"/>
      <c r="H22" s="365"/>
      <c r="I22" s="365"/>
      <c r="J22" s="366"/>
      <c r="K22" s="359">
        <v>6.5</v>
      </c>
      <c r="L22" s="360"/>
    </row>
    <row r="23" spans="2:14" ht="15.75" customHeight="1" thickBot="1" x14ac:dyDescent="0.25">
      <c r="D23" s="59"/>
      <c r="E23" s="355"/>
      <c r="F23" s="356"/>
      <c r="G23" s="356"/>
      <c r="H23" s="356"/>
      <c r="I23" s="356"/>
      <c r="J23" s="356"/>
      <c r="K23" s="356"/>
      <c r="L23" s="357"/>
    </row>
    <row r="24" spans="2:14" ht="15.75" customHeight="1" x14ac:dyDescent="0.25">
      <c r="D24" s="59"/>
      <c r="E24" s="102" t="s">
        <v>307</v>
      </c>
      <c r="F24" s="361" t="s">
        <v>308</v>
      </c>
      <c r="G24" s="361"/>
      <c r="H24" s="361"/>
      <c r="I24" s="361"/>
      <c r="J24" s="361"/>
      <c r="K24" s="362">
        <f>K25+K26+K27+K28</f>
        <v>11.15</v>
      </c>
      <c r="L24" s="363"/>
    </row>
    <row r="25" spans="2:14" ht="15" x14ac:dyDescent="0.2">
      <c r="C25" s="103"/>
      <c r="D25" s="104"/>
      <c r="E25" s="95" t="s">
        <v>309</v>
      </c>
      <c r="F25" s="352" t="s">
        <v>310</v>
      </c>
      <c r="G25" s="352"/>
      <c r="H25" s="352"/>
      <c r="I25" s="352"/>
      <c r="J25" s="352"/>
      <c r="K25" s="370">
        <v>3</v>
      </c>
      <c r="L25" s="371"/>
    </row>
    <row r="26" spans="2:14" ht="15" customHeight="1" x14ac:dyDescent="0.2">
      <c r="B26" s="62">
        <f>1+K22/100</f>
        <v>1.0649999999999999</v>
      </c>
      <c r="D26" s="59"/>
      <c r="E26" s="95" t="s">
        <v>311</v>
      </c>
      <c r="F26" s="352" t="s">
        <v>312</v>
      </c>
      <c r="G26" s="352"/>
      <c r="H26" s="352"/>
      <c r="I26" s="352"/>
      <c r="J26" s="352"/>
      <c r="K26" s="353">
        <v>3</v>
      </c>
      <c r="L26" s="354"/>
    </row>
    <row r="27" spans="2:14" ht="15" customHeight="1" x14ac:dyDescent="0.2">
      <c r="B27" s="62">
        <f>1-K24/100</f>
        <v>0.88849999999999996</v>
      </c>
      <c r="D27" s="59"/>
      <c r="E27" s="95" t="s">
        <v>313</v>
      </c>
      <c r="F27" s="352" t="s">
        <v>314</v>
      </c>
      <c r="G27" s="352"/>
      <c r="H27" s="352"/>
      <c r="I27" s="352"/>
      <c r="J27" s="352"/>
      <c r="K27" s="353">
        <v>0.65</v>
      </c>
      <c r="L27" s="354"/>
    </row>
    <row r="28" spans="2:14" ht="15.75" customHeight="1" thickBot="1" x14ac:dyDescent="0.25">
      <c r="B28" s="62">
        <f>B2*B3*B26</f>
        <v>1.1373183989999998</v>
      </c>
      <c r="D28" s="59"/>
      <c r="E28" s="98" t="s">
        <v>315</v>
      </c>
      <c r="F28" s="358" t="s">
        <v>316</v>
      </c>
      <c r="G28" s="358"/>
      <c r="H28" s="358"/>
      <c r="I28" s="358"/>
      <c r="J28" s="358"/>
      <c r="K28" s="359">
        <v>4.5</v>
      </c>
      <c r="L28" s="360"/>
    </row>
    <row r="29" spans="2:14" ht="15.75" customHeight="1" x14ac:dyDescent="0.2">
      <c r="B29" s="62">
        <f>B28/B27</f>
        <v>1.2800432177827799</v>
      </c>
      <c r="D29" s="59"/>
      <c r="E29" s="372" t="s">
        <v>317</v>
      </c>
      <c r="F29" s="373"/>
      <c r="G29" s="373"/>
      <c r="H29" s="373"/>
      <c r="I29" s="373"/>
      <c r="J29" s="373"/>
      <c r="K29" s="373"/>
      <c r="L29" s="374"/>
    </row>
    <row r="30" spans="2:14" ht="26.25" customHeight="1" thickBot="1" x14ac:dyDescent="0.25">
      <c r="B30" s="62">
        <f>B29-1</f>
        <v>0.28004321778277985</v>
      </c>
      <c r="D30" s="59"/>
      <c r="E30" s="367" t="s">
        <v>318</v>
      </c>
      <c r="F30" s="368"/>
      <c r="G30" s="368"/>
      <c r="H30" s="368"/>
      <c r="I30" s="368"/>
      <c r="J30" s="368"/>
      <c r="K30" s="368"/>
      <c r="L30" s="369"/>
    </row>
    <row r="31" spans="2:14" ht="19.5" customHeight="1" thickBot="1" x14ac:dyDescent="0.25">
      <c r="B31" s="105">
        <f>B30</f>
        <v>0.28004321778277985</v>
      </c>
      <c r="D31" s="59"/>
      <c r="E31" s="380" t="s">
        <v>319</v>
      </c>
      <c r="F31" s="381"/>
      <c r="G31" s="381"/>
      <c r="H31" s="381"/>
      <c r="I31" s="381"/>
      <c r="J31" s="382"/>
      <c r="K31" s="386">
        <f>ROUND(N20,4)</f>
        <v>0.28000000000000003</v>
      </c>
      <c r="L31" s="387"/>
    </row>
    <row r="32" spans="2:14" ht="20.25" customHeight="1" thickTop="1" thickBot="1" x14ac:dyDescent="0.25">
      <c r="D32" s="59"/>
      <c r="E32" s="383"/>
      <c r="F32" s="384"/>
      <c r="G32" s="384"/>
      <c r="H32" s="384"/>
      <c r="I32" s="384"/>
      <c r="J32" s="385"/>
      <c r="K32" s="388"/>
      <c r="L32" s="389"/>
    </row>
    <row r="33" spans="4:12" ht="15.75" customHeight="1" thickBot="1" x14ac:dyDescent="0.25">
      <c r="D33" s="59"/>
      <c r="E33" s="375" t="s">
        <v>320</v>
      </c>
      <c r="F33" s="376"/>
      <c r="G33" s="376"/>
      <c r="H33" s="376"/>
      <c r="I33" s="376"/>
      <c r="J33" s="376"/>
      <c r="K33" s="376"/>
      <c r="L33" s="377"/>
    </row>
    <row r="34" spans="4:12" ht="16.5" customHeight="1" thickBot="1" x14ac:dyDescent="0.25">
      <c r="D34" s="59"/>
      <c r="E34" s="390" t="s">
        <v>321</v>
      </c>
      <c r="F34" s="391"/>
      <c r="G34" s="391"/>
      <c r="H34" s="391"/>
      <c r="I34" s="391"/>
      <c r="J34" s="391"/>
      <c r="K34" s="391"/>
      <c r="L34" s="392"/>
    </row>
    <row r="35" spans="4:12" ht="15.75" x14ac:dyDescent="0.2">
      <c r="D35" s="59"/>
      <c r="E35" s="106"/>
      <c r="F35" s="107"/>
      <c r="G35" s="108"/>
      <c r="H35" s="108"/>
      <c r="I35" s="108"/>
      <c r="J35" s="108"/>
      <c r="K35" s="108"/>
      <c r="L35" s="109"/>
    </row>
    <row r="36" spans="4:12" x14ac:dyDescent="0.2">
      <c r="D36" s="59"/>
      <c r="E36" s="110"/>
      <c r="F36" s="393" t="s">
        <v>322</v>
      </c>
      <c r="G36" s="394" t="s">
        <v>323</v>
      </c>
      <c r="H36" s="394"/>
      <c r="I36" s="394"/>
      <c r="J36" s="394"/>
      <c r="K36" s="395">
        <v>-1</v>
      </c>
      <c r="L36" s="111"/>
    </row>
    <row r="37" spans="4:12" x14ac:dyDescent="0.2">
      <c r="D37" s="59"/>
      <c r="E37" s="110"/>
      <c r="F37" s="393"/>
      <c r="G37" s="396" t="s">
        <v>324</v>
      </c>
      <c r="H37" s="396"/>
      <c r="I37" s="396"/>
      <c r="J37" s="396"/>
      <c r="K37" s="395"/>
      <c r="L37" s="111"/>
    </row>
    <row r="38" spans="4:12" ht="15.75" thickBot="1" x14ac:dyDescent="0.25">
      <c r="D38" s="59"/>
      <c r="E38" s="110"/>
      <c r="F38" s="112"/>
      <c r="G38" s="113"/>
      <c r="H38" s="114"/>
      <c r="L38" s="111"/>
    </row>
    <row r="39" spans="4:12" ht="16.5" thickBot="1" x14ac:dyDescent="0.25">
      <c r="D39" s="59"/>
      <c r="E39" s="110"/>
      <c r="F39" s="375" t="s">
        <v>325</v>
      </c>
      <c r="G39" s="376"/>
      <c r="H39" s="376"/>
      <c r="I39" s="376"/>
      <c r="J39" s="376"/>
      <c r="K39" s="377"/>
      <c r="L39" s="111"/>
    </row>
    <row r="40" spans="4:12" ht="15.75" thickBot="1" x14ac:dyDescent="0.25">
      <c r="E40" s="110"/>
      <c r="F40" s="115">
        <v>0.05</v>
      </c>
      <c r="G40" s="378" t="s">
        <v>326</v>
      </c>
      <c r="H40" s="378"/>
      <c r="I40" s="378"/>
      <c r="J40" s="378"/>
      <c r="K40" s="379"/>
      <c r="L40" s="111"/>
    </row>
    <row r="41" spans="4:12" s="116" customFormat="1" ht="6" customHeight="1" thickBot="1" x14ac:dyDescent="0.25">
      <c r="E41" s="117"/>
      <c r="F41" s="118"/>
      <c r="G41" s="119"/>
      <c r="H41" s="119"/>
      <c r="I41" s="119"/>
      <c r="J41" s="119"/>
      <c r="K41" s="119"/>
      <c r="L41" s="120"/>
    </row>
    <row r="42" spans="4:12" ht="13.15" customHeight="1" thickBot="1" x14ac:dyDescent="0.25">
      <c r="E42" s="110"/>
      <c r="F42" s="121">
        <v>0.6</v>
      </c>
      <c r="G42" s="378" t="s">
        <v>327</v>
      </c>
      <c r="H42" s="378"/>
      <c r="I42" s="378"/>
      <c r="J42" s="378"/>
      <c r="K42" s="379"/>
      <c r="L42" s="111"/>
    </row>
    <row r="43" spans="4:12" ht="13.15" customHeight="1" thickBot="1" x14ac:dyDescent="0.25">
      <c r="E43" s="122"/>
      <c r="F43" s="123"/>
      <c r="G43" s="124"/>
      <c r="H43" s="125"/>
      <c r="I43" s="126"/>
      <c r="J43" s="126"/>
      <c r="K43" s="126"/>
      <c r="L43" s="127"/>
    </row>
    <row r="44" spans="4:12" ht="13.15" customHeight="1" x14ac:dyDescent="0.2"/>
    <row r="45" spans="4:12" ht="21.6" customHeight="1" x14ac:dyDescent="0.2"/>
    <row r="46" spans="4:12" ht="17.45" customHeight="1" x14ac:dyDescent="0.2"/>
    <row r="47" spans="4:12" ht="26.45" customHeight="1" x14ac:dyDescent="0.2"/>
  </sheetData>
  <mergeCells count="48">
    <mergeCell ref="F39:K39"/>
    <mergeCell ref="G40:K40"/>
    <mergeCell ref="G42:K42"/>
    <mergeCell ref="E31:J32"/>
    <mergeCell ref="K31:L32"/>
    <mergeCell ref="E33:L33"/>
    <mergeCell ref="E34:L34"/>
    <mergeCell ref="F36:F37"/>
    <mergeCell ref="G36:J36"/>
    <mergeCell ref="K36:K37"/>
    <mergeCell ref="G37:J37"/>
    <mergeCell ref="E30:L30"/>
    <mergeCell ref="F24:J24"/>
    <mergeCell ref="K24:L24"/>
    <mergeCell ref="F25:J25"/>
    <mergeCell ref="K25:L25"/>
    <mergeCell ref="F26:J26"/>
    <mergeCell ref="K26:L26"/>
    <mergeCell ref="F27:J27"/>
    <mergeCell ref="K27:L27"/>
    <mergeCell ref="F28:J28"/>
    <mergeCell ref="K28:L28"/>
    <mergeCell ref="E29:L29"/>
    <mergeCell ref="E23:L23"/>
    <mergeCell ref="F17:J17"/>
    <mergeCell ref="K17:L17"/>
    <mergeCell ref="F18:J18"/>
    <mergeCell ref="K18:L18"/>
    <mergeCell ref="F19:J19"/>
    <mergeCell ref="K19:L19"/>
    <mergeCell ref="E20:L20"/>
    <mergeCell ref="F21:J21"/>
    <mergeCell ref="K21:L21"/>
    <mergeCell ref="F22:J22"/>
    <mergeCell ref="K22:L22"/>
    <mergeCell ref="F14:J14"/>
    <mergeCell ref="K14:L14"/>
    <mergeCell ref="F15:J15"/>
    <mergeCell ref="K15:L15"/>
    <mergeCell ref="F16:J16"/>
    <mergeCell ref="K16:L16"/>
    <mergeCell ref="E7:L7"/>
    <mergeCell ref="J10:K10"/>
    <mergeCell ref="E11:L11"/>
    <mergeCell ref="E12:E13"/>
    <mergeCell ref="F12:J13"/>
    <mergeCell ref="K12:L12"/>
    <mergeCell ref="K13:L13"/>
  </mergeCells>
  <printOptions horizontalCentered="1" verticalCentered="1"/>
  <pageMargins left="0.47244094488188981" right="0.47244094488188981" top="1.5748031496062993" bottom="0.78740157480314965" header="0.19685039370078741" footer="0.19685039370078741"/>
  <pageSetup paperSize="9" scale="78" orientation="landscape" r:id="rId1"/>
  <headerFooter scaleWithDoc="0" alignWithMargins="0">
    <oddHeader>&amp;C&amp;G</oddHeader>
    <oddFooter>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F411-8B16-4749-AFFF-7119FF8FA090}">
  <sheetPr>
    <pageSetUpPr fitToPage="1"/>
  </sheetPr>
  <dimension ref="A8:M33"/>
  <sheetViews>
    <sheetView tabSelected="1" view="pageBreakPreview" topLeftCell="A10" zoomScaleNormal="100" zoomScaleSheetLayoutView="100" workbookViewId="0">
      <selection activeCell="G15" sqref="G15"/>
    </sheetView>
  </sheetViews>
  <sheetFormatPr defaultColWidth="8" defaultRowHeight="12.75" x14ac:dyDescent="0.2"/>
  <cols>
    <col min="1" max="1" width="10.625" style="138" customWidth="1"/>
    <col min="2" max="2" width="30.5" style="138" customWidth="1"/>
    <col min="3" max="3" width="11.25" style="138" customWidth="1"/>
    <col min="4" max="4" width="10.375" style="139" customWidth="1"/>
    <col min="5" max="5" width="12" style="139" bestFit="1" customWidth="1"/>
    <col min="6" max="6" width="9.25" style="139" bestFit="1" customWidth="1"/>
    <col min="7" max="7" width="10" style="138" customWidth="1"/>
    <col min="8" max="8" width="9.875" style="138" customWidth="1"/>
    <col min="9" max="9" width="10.25" style="138" customWidth="1"/>
    <col min="10" max="10" width="9.875" style="138" customWidth="1"/>
    <col min="11" max="11" width="8" style="138"/>
    <col min="12" max="12" width="12" style="138" bestFit="1" customWidth="1"/>
    <col min="13" max="16384" width="8" style="138"/>
  </cols>
  <sheetData>
    <row r="8" spans="1:11" ht="24.75" customHeight="1" x14ac:dyDescent="0.2"/>
    <row r="9" spans="1:11" ht="21" customHeight="1" x14ac:dyDescent="0.2"/>
    <row r="10" spans="1:11" ht="14.25" customHeight="1" x14ac:dyDescent="0.2">
      <c r="A10" s="412"/>
      <c r="B10" s="412"/>
      <c r="C10" s="412"/>
      <c r="D10" s="412"/>
      <c r="E10" s="412"/>
      <c r="F10" s="412"/>
      <c r="G10" s="412"/>
      <c r="H10" s="412"/>
      <c r="I10" s="140"/>
      <c r="J10" s="140"/>
    </row>
    <row r="11" spans="1:11" ht="15.75" customHeight="1" x14ac:dyDescent="0.2">
      <c r="A11" s="412"/>
      <c r="B11" s="412"/>
      <c r="C11" s="412"/>
      <c r="D11" s="412"/>
      <c r="E11" s="412"/>
      <c r="F11" s="412"/>
      <c r="G11" s="412"/>
      <c r="H11" s="412"/>
      <c r="I11" s="140"/>
      <c r="J11" s="140"/>
    </row>
    <row r="12" spans="1:11" ht="9.75" customHeight="1" thickBot="1" x14ac:dyDescent="0.25">
      <c r="A12" s="141"/>
      <c r="B12" s="413"/>
      <c r="C12" s="414"/>
      <c r="D12" s="414"/>
      <c r="E12" s="414"/>
      <c r="F12" s="414"/>
    </row>
    <row r="13" spans="1:11" ht="18.75" customHeight="1" x14ac:dyDescent="0.2">
      <c r="A13" s="142" t="s">
        <v>328</v>
      </c>
      <c r="B13" s="415" t="s">
        <v>180</v>
      </c>
      <c r="C13" s="415"/>
      <c r="D13" s="415"/>
      <c r="E13" s="415"/>
      <c r="F13" s="143" t="str">
        <f>[1]Resumo!D12</f>
        <v>BDI:</v>
      </c>
      <c r="G13" s="128">
        <v>0.28000000000000003</v>
      </c>
      <c r="H13" s="144"/>
      <c r="I13" s="144"/>
      <c r="J13" s="144"/>
      <c r="K13" s="145"/>
    </row>
    <row r="14" spans="1:11" ht="16.5" customHeight="1" x14ac:dyDescent="0.2">
      <c r="A14" s="146" t="s">
        <v>174</v>
      </c>
      <c r="B14" s="397" t="s">
        <v>329</v>
      </c>
      <c r="C14" s="397"/>
      <c r="D14" s="147"/>
      <c r="E14" s="147"/>
      <c r="F14" s="148" t="str">
        <f>[1]Resumo!D13</f>
        <v>DATA:</v>
      </c>
      <c r="G14" s="129">
        <v>44685</v>
      </c>
      <c r="K14" s="149"/>
    </row>
    <row r="15" spans="1:11" ht="16.5" customHeight="1" x14ac:dyDescent="0.2">
      <c r="A15" s="146" t="s">
        <v>177</v>
      </c>
      <c r="B15" s="397" t="s">
        <v>181</v>
      </c>
      <c r="C15" s="397"/>
      <c r="D15" s="147"/>
      <c r="E15" s="147"/>
      <c r="F15" s="148" t="str">
        <f>[1]Resumo!D15</f>
        <v>Prazo:</v>
      </c>
      <c r="G15" s="130" t="s">
        <v>339</v>
      </c>
      <c r="K15" s="149"/>
    </row>
    <row r="16" spans="1:11" ht="15" customHeight="1" thickBot="1" x14ac:dyDescent="0.25">
      <c r="A16" s="146"/>
      <c r="B16" s="150"/>
      <c r="C16" s="151"/>
      <c r="D16" s="147"/>
      <c r="E16" s="147"/>
      <c r="F16" s="147"/>
      <c r="G16" s="131"/>
      <c r="K16" s="149"/>
    </row>
    <row r="17" spans="1:13" ht="23.25" customHeight="1" thickBot="1" x14ac:dyDescent="0.25">
      <c r="A17" s="398" t="s">
        <v>330</v>
      </c>
      <c r="B17" s="399"/>
      <c r="C17" s="399"/>
      <c r="D17" s="399"/>
      <c r="E17" s="399"/>
      <c r="F17" s="399"/>
      <c r="G17" s="399"/>
      <c r="H17" s="399"/>
      <c r="I17" s="399"/>
      <c r="J17" s="399"/>
      <c r="K17" s="400"/>
    </row>
    <row r="18" spans="1:13" ht="14.1" customHeight="1" x14ac:dyDescent="0.2">
      <c r="A18" s="401" t="s">
        <v>291</v>
      </c>
      <c r="B18" s="404" t="s">
        <v>331</v>
      </c>
      <c r="C18" s="404" t="s">
        <v>332</v>
      </c>
      <c r="D18" s="404"/>
      <c r="E18" s="407" t="s">
        <v>333</v>
      </c>
      <c r="F18" s="408"/>
      <c r="G18" s="408"/>
      <c r="H18" s="408"/>
      <c r="I18" s="408"/>
      <c r="J18" s="408"/>
      <c r="K18" s="409"/>
    </row>
    <row r="19" spans="1:13" ht="14.1" customHeight="1" x14ac:dyDescent="0.2">
      <c r="A19" s="402"/>
      <c r="B19" s="405"/>
      <c r="C19" s="405"/>
      <c r="D19" s="405"/>
      <c r="E19" s="410" t="s">
        <v>334</v>
      </c>
      <c r="F19" s="411"/>
      <c r="G19" s="410" t="s">
        <v>202</v>
      </c>
      <c r="H19" s="411"/>
      <c r="I19" s="410" t="s">
        <v>339</v>
      </c>
      <c r="J19" s="411"/>
      <c r="K19" s="152" t="s">
        <v>12</v>
      </c>
    </row>
    <row r="20" spans="1:13" ht="12" customHeight="1" thickBot="1" x14ac:dyDescent="0.25">
      <c r="A20" s="403"/>
      <c r="B20" s="406"/>
      <c r="C20" s="132" t="s">
        <v>335</v>
      </c>
      <c r="D20" s="153" t="s">
        <v>280</v>
      </c>
      <c r="E20" s="132" t="s">
        <v>335</v>
      </c>
      <c r="F20" s="154" t="s">
        <v>280</v>
      </c>
      <c r="G20" s="132" t="s">
        <v>335</v>
      </c>
      <c r="H20" s="154" t="s">
        <v>280</v>
      </c>
      <c r="I20" s="132" t="s">
        <v>335</v>
      </c>
      <c r="J20" s="154" t="s">
        <v>280</v>
      </c>
      <c r="K20" s="155" t="s">
        <v>280</v>
      </c>
      <c r="L20" s="156"/>
    </row>
    <row r="21" spans="1:13" ht="14.25" x14ac:dyDescent="0.2">
      <c r="A21" s="157"/>
      <c r="B21" s="158"/>
      <c r="C21" s="159"/>
      <c r="D21" s="133"/>
      <c r="E21" s="160"/>
      <c r="F21" s="161"/>
      <c r="G21" s="162"/>
      <c r="H21" s="161"/>
      <c r="I21" s="161"/>
      <c r="J21" s="161"/>
      <c r="K21" s="163"/>
      <c r="L21" s="164"/>
      <c r="M21" s="165"/>
    </row>
    <row r="22" spans="1:13" ht="14.25" x14ac:dyDescent="0.2">
      <c r="A22" s="166" t="s">
        <v>282</v>
      </c>
      <c r="B22" s="167" t="s">
        <v>16</v>
      </c>
      <c r="C22" s="168">
        <v>21336.84</v>
      </c>
      <c r="D22" s="134">
        <f t="shared" ref="D22:D28" si="0">C22/$C$28</f>
        <v>8.3123808107968808E-2</v>
      </c>
      <c r="E22" s="169">
        <f>C22*F22</f>
        <v>7111.5687719999996</v>
      </c>
      <c r="F22" s="170">
        <v>0.33329999999999999</v>
      </c>
      <c r="G22" s="169">
        <f>C22*H22</f>
        <v>7111.5687719999996</v>
      </c>
      <c r="H22" s="170">
        <v>0.33329999999999999</v>
      </c>
      <c r="I22" s="169">
        <f>C22*J22</f>
        <v>7113.7024559999991</v>
      </c>
      <c r="J22" s="170">
        <v>0.33339999999999997</v>
      </c>
      <c r="K22" s="171">
        <f t="shared" ref="K22:K28" si="1">F22+H22+J22</f>
        <v>1</v>
      </c>
      <c r="L22" s="164"/>
      <c r="M22" s="165"/>
    </row>
    <row r="23" spans="1:13" ht="14.25" x14ac:dyDescent="0.2">
      <c r="A23" s="166" t="s">
        <v>283</v>
      </c>
      <c r="B23" s="172" t="s">
        <v>22</v>
      </c>
      <c r="C23" s="168">
        <v>5682.34</v>
      </c>
      <c r="D23" s="134">
        <f t="shared" si="0"/>
        <v>2.2137192750390194E-2</v>
      </c>
      <c r="E23" s="169">
        <f t="shared" ref="E23:E27" si="2">C23*F23</f>
        <v>5682.34</v>
      </c>
      <c r="F23" s="170">
        <v>1</v>
      </c>
      <c r="G23" s="169">
        <f t="shared" ref="G23:G27" si="3">C23*H23</f>
        <v>0</v>
      </c>
      <c r="H23" s="170">
        <v>0</v>
      </c>
      <c r="I23" s="169">
        <f t="shared" ref="I23:I27" si="4">C23*J23</f>
        <v>0</v>
      </c>
      <c r="J23" s="170">
        <v>0</v>
      </c>
      <c r="K23" s="171">
        <f t="shared" si="1"/>
        <v>1</v>
      </c>
      <c r="L23" s="164"/>
      <c r="M23" s="165"/>
    </row>
    <row r="24" spans="1:13" ht="14.25" x14ac:dyDescent="0.2">
      <c r="A24" s="166" t="s">
        <v>284</v>
      </c>
      <c r="B24" s="172" t="s">
        <v>30</v>
      </c>
      <c r="C24" s="168">
        <v>181198.71</v>
      </c>
      <c r="D24" s="134">
        <f t="shared" si="0"/>
        <v>0.70591178447471548</v>
      </c>
      <c r="E24" s="169">
        <f t="shared" si="2"/>
        <v>36239.741999999998</v>
      </c>
      <c r="F24" s="170">
        <v>0.2</v>
      </c>
      <c r="G24" s="169">
        <f t="shared" si="3"/>
        <v>63419.54849999999</v>
      </c>
      <c r="H24" s="170">
        <v>0.35</v>
      </c>
      <c r="I24" s="169">
        <f t="shared" si="4"/>
        <v>81539.419500000004</v>
      </c>
      <c r="J24" s="170">
        <v>0.45</v>
      </c>
      <c r="K24" s="171">
        <f t="shared" si="1"/>
        <v>1</v>
      </c>
      <c r="L24" s="164"/>
      <c r="M24" s="165"/>
    </row>
    <row r="25" spans="1:13" ht="14.25" x14ac:dyDescent="0.2">
      <c r="A25" s="166" t="s">
        <v>285</v>
      </c>
      <c r="B25" s="172" t="s">
        <v>60</v>
      </c>
      <c r="C25" s="168">
        <v>6063.9</v>
      </c>
      <c r="D25" s="134">
        <f t="shared" si="0"/>
        <v>2.3623669671137434E-2</v>
      </c>
      <c r="E25" s="169">
        <f t="shared" si="2"/>
        <v>2425.56</v>
      </c>
      <c r="F25" s="170">
        <v>0.4</v>
      </c>
      <c r="G25" s="169">
        <f t="shared" si="3"/>
        <v>3031.95</v>
      </c>
      <c r="H25" s="170">
        <v>0.5</v>
      </c>
      <c r="I25" s="169">
        <f t="shared" si="4"/>
        <v>606.39</v>
      </c>
      <c r="J25" s="170">
        <v>0.1</v>
      </c>
      <c r="K25" s="171">
        <f t="shared" si="1"/>
        <v>1</v>
      </c>
      <c r="L25" s="164"/>
      <c r="M25" s="165"/>
    </row>
    <row r="26" spans="1:13" ht="12.75" customHeight="1" x14ac:dyDescent="0.2">
      <c r="A26" s="166" t="s">
        <v>286</v>
      </c>
      <c r="B26" s="172" t="s">
        <v>288</v>
      </c>
      <c r="C26" s="168">
        <v>15263.73</v>
      </c>
      <c r="D26" s="134">
        <f t="shared" si="0"/>
        <v>5.9464258228109065E-2</v>
      </c>
      <c r="E26" s="169">
        <f t="shared" si="2"/>
        <v>5342.3054999999995</v>
      </c>
      <c r="F26" s="170">
        <v>0.35</v>
      </c>
      <c r="G26" s="169">
        <f t="shared" si="3"/>
        <v>6868.6785</v>
      </c>
      <c r="H26" s="170">
        <v>0.45</v>
      </c>
      <c r="I26" s="169">
        <f t="shared" si="4"/>
        <v>3052.7460000000001</v>
      </c>
      <c r="J26" s="170">
        <v>0.2</v>
      </c>
      <c r="K26" s="171">
        <f t="shared" si="1"/>
        <v>1</v>
      </c>
      <c r="L26" s="164"/>
      <c r="M26" s="165"/>
    </row>
    <row r="27" spans="1:13" s="165" customFormat="1" ht="15" thickBot="1" x14ac:dyDescent="0.25">
      <c r="A27" s="166" t="s">
        <v>287</v>
      </c>
      <c r="B27" s="172" t="s">
        <v>168</v>
      </c>
      <c r="C27" s="168">
        <v>27141.95</v>
      </c>
      <c r="D27" s="134">
        <f t="shared" si="0"/>
        <v>0.10573928676767901</v>
      </c>
      <c r="E27" s="169">
        <f t="shared" si="2"/>
        <v>6785.4875000000002</v>
      </c>
      <c r="F27" s="170">
        <v>0.25</v>
      </c>
      <c r="G27" s="169">
        <f t="shared" si="3"/>
        <v>16285.17</v>
      </c>
      <c r="H27" s="170">
        <v>0.6</v>
      </c>
      <c r="I27" s="169">
        <f t="shared" si="4"/>
        <v>4071.2925</v>
      </c>
      <c r="J27" s="170">
        <v>0.15</v>
      </c>
      <c r="K27" s="171">
        <f t="shared" si="1"/>
        <v>1</v>
      </c>
      <c r="L27" s="173"/>
    </row>
    <row r="28" spans="1:13" ht="13.5" thickBot="1" x14ac:dyDescent="0.25">
      <c r="A28" s="174"/>
      <c r="B28" s="175" t="s">
        <v>336</v>
      </c>
      <c r="C28" s="176">
        <f>SUM(C22:C27)</f>
        <v>256687.47</v>
      </c>
      <c r="D28" s="135">
        <f t="shared" si="0"/>
        <v>1</v>
      </c>
      <c r="E28" s="177">
        <f>SUM(E22:E27)</f>
        <v>63587.003771999996</v>
      </c>
      <c r="F28" s="178">
        <f>+E28/$C$28</f>
        <v>0.24772149482793218</v>
      </c>
      <c r="G28" s="177">
        <f>SUM(G22:G27)</f>
        <v>96716.915771999978</v>
      </c>
      <c r="H28" s="178">
        <f>+G28/$C$28</f>
        <v>0.37678861290736154</v>
      </c>
      <c r="I28" s="179">
        <f>SUM(I22:I27)</f>
        <v>96383.550455999997</v>
      </c>
      <c r="J28" s="178">
        <f>+I28/$C$28</f>
        <v>0.37548989226470619</v>
      </c>
      <c r="K28" s="180">
        <f t="shared" si="1"/>
        <v>0.99999999999999989</v>
      </c>
    </row>
    <row r="29" spans="1:13" ht="13.5" thickBot="1" x14ac:dyDescent="0.25">
      <c r="A29" s="181"/>
      <c r="B29" s="182" t="s">
        <v>337</v>
      </c>
      <c r="C29" s="183"/>
      <c r="D29" s="136"/>
      <c r="E29" s="184">
        <f>E28</f>
        <v>63587.003771999996</v>
      </c>
      <c r="F29" s="185">
        <f>+E29/$C$28</f>
        <v>0.24772149482793218</v>
      </c>
      <c r="G29" s="184">
        <f>G28+E29</f>
        <v>160303.91954399997</v>
      </c>
      <c r="H29" s="185">
        <f>+G29/$C$28</f>
        <v>0.6245101077352937</v>
      </c>
      <c r="I29" s="184">
        <f>I28+G29</f>
        <v>256687.46999999997</v>
      </c>
      <c r="J29" s="185">
        <f>+I29/$C$28</f>
        <v>0.99999999999999989</v>
      </c>
      <c r="K29" s="186">
        <f>K28</f>
        <v>0.99999999999999989</v>
      </c>
    </row>
    <row r="30" spans="1:13" s="139" customFormat="1" x14ac:dyDescent="0.2">
      <c r="A30" s="138"/>
      <c r="B30" s="138"/>
      <c r="C30" s="187"/>
      <c r="G30" s="138"/>
      <c r="H30" s="138"/>
      <c r="I30" s="138"/>
      <c r="J30" s="138"/>
      <c r="K30" s="138"/>
      <c r="L30" s="138"/>
      <c r="M30" s="138"/>
    </row>
    <row r="32" spans="1:13" s="139" customFormat="1" x14ac:dyDescent="0.2">
      <c r="A32" s="138"/>
      <c r="B32" s="138"/>
      <c r="C32" s="138"/>
      <c r="G32" s="138"/>
      <c r="H32" s="138"/>
      <c r="I32" s="138"/>
      <c r="J32" s="138"/>
      <c r="K32" s="138"/>
      <c r="L32" s="138"/>
      <c r="M32" s="138"/>
    </row>
    <row r="33" spans="1:13" s="139" customFormat="1" x14ac:dyDescent="0.2">
      <c r="A33" s="138"/>
      <c r="B33" s="138"/>
      <c r="C33" s="138"/>
      <c r="G33" s="138"/>
      <c r="H33" s="138"/>
      <c r="I33" s="138"/>
      <c r="J33" s="138"/>
      <c r="K33" s="138"/>
      <c r="L33" s="138"/>
      <c r="M33" s="138"/>
    </row>
  </sheetData>
  <sheetProtection formatCells="0" formatColumns="0" formatRows="0" insertColumns="0" insertRows="0" insertHyperlinks="0" deleteColumns="0" deleteRows="0" sort="0" autoFilter="0" pivotTables="0"/>
  <mergeCells count="14">
    <mergeCell ref="A10:H10"/>
    <mergeCell ref="A11:H11"/>
    <mergeCell ref="B12:F12"/>
    <mergeCell ref="B13:E13"/>
    <mergeCell ref="B14:C14"/>
    <mergeCell ref="B15:C15"/>
    <mergeCell ref="A17:K17"/>
    <mergeCell ref="A18:A20"/>
    <mergeCell ref="B18:B20"/>
    <mergeCell ref="C18:D19"/>
    <mergeCell ref="E18:K18"/>
    <mergeCell ref="E19:F19"/>
    <mergeCell ref="G19:H19"/>
    <mergeCell ref="I19:J19"/>
  </mergeCells>
  <printOptions horizontalCentered="1" verticalCentered="1"/>
  <pageMargins left="0.78740157480314965" right="0.78740157480314965" top="1.5748031496062993" bottom="1.1811023622047245" header="0.19685039370078741" footer="1.1811023622047245"/>
  <pageSetup paperSize="9" scale="90" fitToHeight="0" orientation="landscape" r:id="rId1"/>
  <headerFooter alignWithMargins="0">
    <oddHeader>&amp;C&amp;G</oddHeader>
    <oddFooter>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 </vt:lpstr>
      <vt:lpstr>Orçamento </vt:lpstr>
      <vt:lpstr>Composições</vt:lpstr>
      <vt:lpstr>BDI </vt:lpstr>
      <vt:lpstr>Cronograma </vt:lpstr>
      <vt:lpstr>'BDI '!Area_de_impressao</vt:lpstr>
      <vt:lpstr>'Cronograma '!Area_de_impressao</vt:lpstr>
      <vt:lpstr>'Orçamento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2022-05-09T13:55:59Z</cp:lastPrinted>
  <dcterms:created xsi:type="dcterms:W3CDTF">2022-01-11T13:09:31Z</dcterms:created>
  <dcterms:modified xsi:type="dcterms:W3CDTF">2022-05-09T13:56:01Z</dcterms:modified>
</cp:coreProperties>
</file>